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world-cup-2018-spreadsheet\"/>
    </mc:Choice>
  </mc:AlternateContent>
  <xr:revisionPtr revIDLastSave="0" documentId="10_ncr:8100000_{2AACA657-ECAD-405F-A75F-FBD48ACD05A8}" xr6:coauthVersionLast="34" xr6:coauthVersionMax="34" xr10:uidLastSave="{00000000-0000-0000-0000-000000000000}"/>
  <bookViews>
    <workbookView xWindow="0" yWindow="0" windowWidth="17190" windowHeight="9810" firstSheet="1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Settings!$F$6:$G$37</definedName>
    <definedName name="fair_play">Settings!$S$17:$U$48</definedName>
    <definedName name="gmt_delta">Settings!$P$16</definedName>
    <definedName name="lang">Settings!$P$15</definedName>
    <definedName name="lang_list">T!$1:$1</definedName>
    <definedName name="my_team">Settings!$R$15</definedName>
    <definedName name="T">T!$1:$1048576</definedName>
    <definedName name="teams">Settings!$R$17:$R$48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3" l="1"/>
  <c r="AO10" i="3"/>
  <c r="AO11" i="3"/>
  <c r="AO14" i="3"/>
  <c r="AO15" i="3"/>
  <c r="AO16" i="3"/>
  <c r="AO17" i="3"/>
  <c r="AO20" i="3"/>
  <c r="AO21" i="3"/>
  <c r="AO22" i="3"/>
  <c r="AO23" i="3"/>
  <c r="AO26" i="3"/>
  <c r="AO27" i="3"/>
  <c r="AO28" i="3"/>
  <c r="AO29" i="3"/>
  <c r="AO32" i="3"/>
  <c r="AO33" i="3"/>
  <c r="AO34" i="3"/>
  <c r="AO35" i="3"/>
  <c r="AO38" i="3"/>
  <c r="AO39" i="3"/>
  <c r="AO40" i="3"/>
  <c r="AO41" i="3"/>
  <c r="AO44" i="3"/>
  <c r="AO45" i="3"/>
  <c r="AO46" i="3"/>
  <c r="AO47" i="3"/>
  <c r="AO50" i="3"/>
  <c r="AO51" i="3"/>
  <c r="AO52" i="3"/>
  <c r="AO53" i="3"/>
  <c r="AP45" i="3" l="1"/>
  <c r="AP44" i="3"/>
  <c r="AP32" i="3"/>
  <c r="AP20" i="3"/>
  <c r="AP40" i="3"/>
  <c r="AP16" i="3"/>
  <c r="AP27" i="3"/>
  <c r="AP52" i="3"/>
  <c r="AP28" i="3"/>
  <c r="AP51" i="3"/>
  <c r="AP15" i="3"/>
  <c r="AP53" i="3"/>
  <c r="AP41" i="3"/>
  <c r="AP29" i="3"/>
  <c r="AP17" i="3"/>
  <c r="AP50" i="3"/>
  <c r="AP38" i="3"/>
  <c r="AP26" i="3"/>
  <c r="AP14" i="3"/>
  <c r="AP47" i="3"/>
  <c r="AP23" i="3"/>
  <c r="AP39" i="3"/>
  <c r="AP35" i="3"/>
  <c r="AP46" i="3"/>
  <c r="AP34" i="3"/>
  <c r="AP22" i="3"/>
  <c r="AP33" i="3"/>
  <c r="AP21" i="3"/>
  <c r="AO8" i="3"/>
  <c r="AP8" i="3" s="1"/>
  <c r="AP11" i="3" l="1"/>
  <c r="AP10" i="3"/>
  <c r="AP9" i="3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17" i="2"/>
  <c r="T81" i="3" l="1"/>
  <c r="U77" i="3" l="1"/>
  <c r="U76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P48" i="2"/>
  <c r="P16" i="2"/>
  <c r="P15" i="2"/>
  <c r="S18" i="2" l="1"/>
  <c r="S26" i="2"/>
  <c r="S34" i="2"/>
  <c r="S42" i="2"/>
  <c r="S36" i="2"/>
  <c r="S19" i="2"/>
  <c r="S27" i="2"/>
  <c r="S35" i="2"/>
  <c r="S43" i="2"/>
  <c r="S28" i="2"/>
  <c r="S41" i="2"/>
  <c r="S20" i="2"/>
  <c r="S44" i="2"/>
  <c r="S21" i="2"/>
  <c r="S29" i="2"/>
  <c r="S37" i="2"/>
  <c r="S45" i="2"/>
  <c r="S48" i="2"/>
  <c r="S17" i="2"/>
  <c r="S22" i="2"/>
  <c r="S30" i="2"/>
  <c r="S38" i="2"/>
  <c r="S46" i="2"/>
  <c r="S33" i="2"/>
  <c r="S23" i="2"/>
  <c r="S31" i="2"/>
  <c r="S39" i="2"/>
  <c r="S47" i="2"/>
  <c r="S25" i="2"/>
  <c r="S24" i="2"/>
  <c r="S32" i="2"/>
  <c r="S40" i="2"/>
  <c r="F7" i="2"/>
  <c r="F8" i="2"/>
  <c r="F16" i="2"/>
  <c r="F24" i="2"/>
  <c r="F32" i="2"/>
  <c r="F37" i="2"/>
  <c r="F6" i="2"/>
  <c r="F9" i="2"/>
  <c r="F17" i="2"/>
  <c r="F25" i="2"/>
  <c r="F33" i="2"/>
  <c r="F13" i="2"/>
  <c r="F10" i="2"/>
  <c r="F18" i="2"/>
  <c r="F26" i="2"/>
  <c r="F34" i="2"/>
  <c r="F29" i="2"/>
  <c r="F30" i="2"/>
  <c r="F11" i="2"/>
  <c r="F19" i="2"/>
  <c r="F27" i="2"/>
  <c r="F35" i="2"/>
  <c r="F36" i="2"/>
  <c r="F22" i="2"/>
  <c r="F23" i="2"/>
  <c r="F12" i="2"/>
  <c r="F20" i="2"/>
  <c r="F28" i="2"/>
  <c r="F14" i="2"/>
  <c r="F31" i="2"/>
  <c r="F21" i="2"/>
  <c r="F15" i="2"/>
  <c r="L20" i="3"/>
  <c r="R7" i="3"/>
  <c r="R72" i="3"/>
  <c r="R71" i="3"/>
  <c r="BI27" i="3" s="1"/>
  <c r="AB21" i="3"/>
  <c r="R28" i="3"/>
  <c r="D28" i="3" s="1"/>
  <c r="R69" i="3"/>
  <c r="BI11" i="3" s="1"/>
  <c r="R58" i="3"/>
  <c r="BB9" i="3" s="1"/>
  <c r="R77" i="3"/>
  <c r="BP31" i="3" s="1"/>
  <c r="R70" i="3"/>
  <c r="BI19" i="3" s="1"/>
  <c r="R85" i="3"/>
  <c r="BW22" i="3" s="1"/>
  <c r="R65" i="3"/>
  <c r="BB37" i="3" s="1"/>
  <c r="R63" i="3"/>
  <c r="BB21" i="3" s="1"/>
  <c r="R81" i="3"/>
  <c r="BW34" i="3" s="1"/>
  <c r="R64" i="3"/>
  <c r="BB33" i="3" s="1"/>
  <c r="R60" i="3"/>
  <c r="BB25" i="3" s="1"/>
  <c r="R76" i="3"/>
  <c r="BP15" i="3" s="1"/>
  <c r="R62" i="3"/>
  <c r="BB17" i="3" s="1"/>
  <c r="BI35" i="3"/>
  <c r="R61" i="3"/>
  <c r="BB29" i="3" s="1"/>
  <c r="R59" i="3"/>
  <c r="BB13" i="3" s="1"/>
  <c r="R51" i="3"/>
  <c r="D51" i="3" s="1"/>
  <c r="R43" i="3"/>
  <c r="R35" i="3"/>
  <c r="D35" i="3" s="1"/>
  <c r="R42" i="3"/>
  <c r="C42" i="3" s="1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C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B46" i="3" s="1"/>
  <c r="R38" i="3"/>
  <c r="B38" i="3" s="1"/>
  <c r="R30" i="3"/>
  <c r="B30" i="3" s="1"/>
  <c r="R53" i="3"/>
  <c r="R45" i="3"/>
  <c r="R37" i="3"/>
  <c r="B37" i="3" s="1"/>
  <c r="R29" i="3"/>
  <c r="B29" i="3" s="1"/>
  <c r="R52" i="3"/>
  <c r="C52" i="3" s="1"/>
  <c r="P8" i="3"/>
  <c r="BW6" i="3"/>
  <c r="P44" i="3"/>
  <c r="P38" i="3"/>
  <c r="AB9" i="3"/>
  <c r="AB33" i="3"/>
  <c r="AB44" i="3"/>
  <c r="AM44" i="3" s="1"/>
  <c r="AB52" i="3"/>
  <c r="R15" i="2"/>
  <c r="J14" i="3"/>
  <c r="K32" i="3"/>
  <c r="K14" i="3"/>
  <c r="M20" i="3"/>
  <c r="J26" i="3"/>
  <c r="L32" i="3"/>
  <c r="BO41" i="3"/>
  <c r="J50" i="3"/>
  <c r="AB10" i="3"/>
  <c r="AB22" i="3"/>
  <c r="AB34" i="3"/>
  <c r="AB45" i="3"/>
  <c r="J8" i="3"/>
  <c r="L14" i="3"/>
  <c r="K26" i="3"/>
  <c r="M32" i="3"/>
  <c r="J38" i="3"/>
  <c r="J44" i="3"/>
  <c r="AB11" i="3"/>
  <c r="AB23" i="3"/>
  <c r="AM23" i="3" s="1"/>
  <c r="AB35" i="3"/>
  <c r="AB46" i="3"/>
  <c r="K8" i="3"/>
  <c r="M14" i="3"/>
  <c r="O20" i="3"/>
  <c r="L26" i="3"/>
  <c r="N32" i="3"/>
  <c r="K38" i="3"/>
  <c r="K44" i="3"/>
  <c r="L50" i="3"/>
  <c r="AB14" i="3"/>
  <c r="AM14" i="3" s="1"/>
  <c r="AB26" i="3"/>
  <c r="AM26" i="3" s="1"/>
  <c r="AB38" i="3"/>
  <c r="AM38" i="3" s="1"/>
  <c r="AB47" i="3"/>
  <c r="N20" i="3"/>
  <c r="K50" i="3"/>
  <c r="A5" i="3"/>
  <c r="L8" i="3"/>
  <c r="N14" i="3"/>
  <c r="P20" i="3"/>
  <c r="M26" i="3"/>
  <c r="O32" i="3"/>
  <c r="L38" i="3"/>
  <c r="L44" i="3"/>
  <c r="M50" i="3"/>
  <c r="AB15" i="3"/>
  <c r="AB27" i="3"/>
  <c r="AB39" i="3"/>
  <c r="AB50" i="3"/>
  <c r="BB6" i="3"/>
  <c r="M8" i="3"/>
  <c r="O14" i="3"/>
  <c r="N26" i="3"/>
  <c r="P32" i="3"/>
  <c r="M38" i="3"/>
  <c r="M44" i="3"/>
  <c r="N50" i="3"/>
  <c r="AB16" i="3"/>
  <c r="AB28" i="3"/>
  <c r="AM28" i="3" s="1"/>
  <c r="AB40" i="3"/>
  <c r="AB51" i="3"/>
  <c r="BI6" i="3"/>
  <c r="N8" i="3"/>
  <c r="P14" i="3"/>
  <c r="J20" i="3"/>
  <c r="O26" i="3"/>
  <c r="BW31" i="3"/>
  <c r="N38" i="3"/>
  <c r="N44" i="3"/>
  <c r="O50" i="3"/>
  <c r="AB17" i="3"/>
  <c r="AB29" i="3"/>
  <c r="AB41" i="3"/>
  <c r="AM41" i="3" s="1"/>
  <c r="A1" i="3"/>
  <c r="BP6" i="3"/>
  <c r="O8" i="3"/>
  <c r="K20" i="3"/>
  <c r="P26" i="3"/>
  <c r="J32" i="3"/>
  <c r="O38" i="3"/>
  <c r="O44" i="3"/>
  <c r="P50" i="3"/>
  <c r="AB8" i="3"/>
  <c r="AB20" i="3"/>
  <c r="AB32" i="3"/>
  <c r="AB53" i="3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C7" i="3"/>
  <c r="R13" i="3"/>
  <c r="B13" i="3" s="1"/>
  <c r="R10" i="3"/>
  <c r="H10" i="3" l="1"/>
  <c r="AM17" i="3"/>
  <c r="E53" i="3"/>
  <c r="AM53" i="3"/>
  <c r="AM15" i="3"/>
  <c r="AM46" i="3"/>
  <c r="E19" i="3"/>
  <c r="S19" i="3" s="1"/>
  <c r="H13" i="3"/>
  <c r="AM27" i="3"/>
  <c r="AN26" i="3" s="1"/>
  <c r="E15" i="3"/>
  <c r="AM32" i="3"/>
  <c r="H38" i="3"/>
  <c r="AM51" i="3"/>
  <c r="AM35" i="3"/>
  <c r="E48" i="3"/>
  <c r="S48" i="3" s="1"/>
  <c r="AM33" i="3"/>
  <c r="H11" i="3"/>
  <c r="AM21" i="3"/>
  <c r="H43" i="3"/>
  <c r="AM20" i="3"/>
  <c r="H33" i="3"/>
  <c r="AM40" i="3"/>
  <c r="E52" i="3"/>
  <c r="AM45" i="3"/>
  <c r="E40" i="3"/>
  <c r="S40" i="3" s="1"/>
  <c r="AM9" i="3"/>
  <c r="AM8" i="3"/>
  <c r="H8" i="3"/>
  <c r="AM11" i="3"/>
  <c r="H31" i="3"/>
  <c r="AM34" i="3"/>
  <c r="E10" i="3"/>
  <c r="X10" i="3" s="1"/>
  <c r="AM16" i="3"/>
  <c r="H20" i="3"/>
  <c r="AM47" i="3"/>
  <c r="H44" i="3"/>
  <c r="AM22" i="3"/>
  <c r="H37" i="3"/>
  <c r="AM52" i="3"/>
  <c r="H53" i="3"/>
  <c r="X53" i="3" s="1"/>
  <c r="AM50" i="3"/>
  <c r="E8" i="3"/>
  <c r="AM10" i="3"/>
  <c r="AN10" i="3" s="1"/>
  <c r="AM29" i="3"/>
  <c r="H17" i="3"/>
  <c r="AM39" i="3"/>
  <c r="AN39" i="3" s="1"/>
  <c r="H28" i="3"/>
  <c r="E44" i="3"/>
  <c r="S44" i="3" s="1"/>
  <c r="T44" i="3" s="1"/>
  <c r="B28" i="3"/>
  <c r="B51" i="3"/>
  <c r="B49" i="3"/>
  <c r="C35" i="3"/>
  <c r="B36" i="3"/>
  <c r="D36" i="3"/>
  <c r="D38" i="3"/>
  <c r="C41" i="3"/>
  <c r="D49" i="3"/>
  <c r="D29" i="3"/>
  <c r="B25" i="3"/>
  <c r="C34" i="3"/>
  <c r="C8" i="3"/>
  <c r="D25" i="3"/>
  <c r="B34" i="3"/>
  <c r="D8" i="3"/>
  <c r="H54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E27" i="3"/>
  <c r="S27" i="3" s="1"/>
  <c r="E11" i="3"/>
  <c r="S11" i="3" s="1"/>
  <c r="T11" i="3" s="1"/>
  <c r="H24" i="3"/>
  <c r="H7" i="3"/>
  <c r="E35" i="3"/>
  <c r="S35" i="3" s="1"/>
  <c r="S52" i="3"/>
  <c r="S15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E54" i="3"/>
  <c r="H22" i="3"/>
  <c r="E38" i="3"/>
  <c r="H42" i="3"/>
  <c r="H25" i="3"/>
  <c r="H30" i="3"/>
  <c r="E46" i="3"/>
  <c r="E12" i="3"/>
  <c r="H47" i="3"/>
  <c r="E31" i="3"/>
  <c r="E36" i="3"/>
  <c r="E51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H35" i="3"/>
  <c r="E20" i="3"/>
  <c r="E16" i="3"/>
  <c r="H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S8" i="3"/>
  <c r="AN38" i="3" l="1"/>
  <c r="AN47" i="3"/>
  <c r="AN32" i="3"/>
  <c r="AN21" i="3"/>
  <c r="AN23" i="3"/>
  <c r="AN44" i="3"/>
  <c r="AN29" i="3"/>
  <c r="AN17" i="3"/>
  <c r="AN52" i="3"/>
  <c r="AN9" i="3"/>
  <c r="AN50" i="3"/>
  <c r="AN16" i="3"/>
  <c r="AN27" i="3"/>
  <c r="AN8" i="3"/>
  <c r="AN33" i="3"/>
  <c r="AN40" i="3"/>
  <c r="AN35" i="3"/>
  <c r="AN46" i="3"/>
  <c r="AN41" i="3"/>
  <c r="AN22" i="3"/>
  <c r="AN11" i="3"/>
  <c r="AN51" i="3"/>
  <c r="AN15" i="3"/>
  <c r="AN14" i="3"/>
  <c r="AN45" i="3"/>
  <c r="AN34" i="3"/>
  <c r="AN20" i="3"/>
  <c r="AN53" i="3"/>
  <c r="AN28" i="3"/>
  <c r="S10" i="3"/>
  <c r="T10" i="3" s="1"/>
  <c r="T40" i="3"/>
  <c r="X8" i="3"/>
  <c r="X52" i="3"/>
  <c r="T48" i="3"/>
  <c r="X44" i="3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K39" i="3"/>
  <c r="AK17" i="3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K51" i="3"/>
  <c r="AK35" i="3"/>
  <c r="AE48" i="3"/>
  <c r="AK47" i="3"/>
  <c r="AK16" i="3"/>
  <c r="AK52" i="3"/>
  <c r="AK9" i="3"/>
  <c r="AE36" i="3"/>
  <c r="AK45" i="3"/>
  <c r="AE24" i="3"/>
  <c r="AE18" i="3"/>
  <c r="AK28" i="3"/>
  <c r="AD42" i="3"/>
  <c r="AE12" i="3"/>
  <c r="AE30" i="3"/>
  <c r="AK27" i="3"/>
  <c r="AK10" i="3"/>
  <c r="AK41" i="3"/>
  <c r="AD24" i="3"/>
  <c r="AK23" i="3"/>
  <c r="AK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H52" i="3" l="1"/>
  <c r="AH15" i="3"/>
  <c r="U42" i="3" s="1"/>
  <c r="V42" i="3" s="1"/>
  <c r="AH16" i="3"/>
  <c r="AH28" i="3"/>
  <c r="AH35" i="3"/>
  <c r="AH17" i="3"/>
  <c r="U10" i="3" s="1"/>
  <c r="W10" i="3" s="1"/>
  <c r="AH23" i="3"/>
  <c r="AH41" i="3"/>
  <c r="AH51" i="3"/>
  <c r="AH39" i="3"/>
  <c r="AH29" i="3"/>
  <c r="AH27" i="3"/>
  <c r="AH22" i="3"/>
  <c r="AH34" i="3"/>
  <c r="AH47" i="3"/>
  <c r="AH45" i="3"/>
  <c r="AJ38" i="3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14" i="3"/>
  <c r="W14" i="3" s="1"/>
  <c r="U12" i="3"/>
  <c r="W12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S50" i="3"/>
  <c r="AV10" i="3"/>
  <c r="AS41" i="3"/>
  <c r="AU33" i="3"/>
  <c r="AT23" i="3"/>
  <c r="AU34" i="3"/>
  <c r="AU14" i="3"/>
  <c r="AV47" i="3"/>
  <c r="AS14" i="3"/>
  <c r="AS40" i="3"/>
  <c r="AT11" i="3"/>
  <c r="AU32" i="3"/>
  <c r="AT26" i="3"/>
  <c r="AV38" i="3"/>
  <c r="AV14" i="3"/>
  <c r="AU40" i="3"/>
  <c r="AV33" i="3"/>
  <c r="AT34" i="3"/>
  <c r="AU53" i="3"/>
  <c r="AS26" i="3"/>
  <c r="AU10" i="3"/>
  <c r="AV22" i="3"/>
  <c r="AS44" i="3"/>
  <c r="AU28" i="3"/>
  <c r="AT40" i="3"/>
  <c r="AV20" i="3"/>
  <c r="AV26" i="3"/>
  <c r="AU51" i="3"/>
  <c r="AT22" i="3"/>
  <c r="AV17" i="3"/>
  <c r="AU21" i="3"/>
  <c r="AU52" i="3"/>
  <c r="AT10" i="3"/>
  <c r="AU9" i="3"/>
  <c r="AT38" i="3"/>
  <c r="AT29" i="3"/>
  <c r="AT47" i="3"/>
  <c r="AV34" i="3"/>
  <c r="AU26" i="3"/>
  <c r="AV9" i="3"/>
  <c r="AV51" i="3"/>
  <c r="AT51" i="3"/>
  <c r="AT8" i="3"/>
  <c r="AS29" i="3"/>
  <c r="AS9" i="3"/>
  <c r="AU39" i="3"/>
  <c r="AU38" i="3"/>
  <c r="AS27" i="3"/>
  <c r="AS39" i="3"/>
  <c r="AV21" i="3"/>
  <c r="AS11" i="3"/>
  <c r="AT53" i="3"/>
  <c r="AV50" i="3"/>
  <c r="AS21" i="3"/>
  <c r="AU41" i="3"/>
  <c r="AS10" i="3"/>
  <c r="AV23" i="3"/>
  <c r="AV27" i="3"/>
  <c r="AS8" i="3"/>
  <c r="AT9" i="3"/>
  <c r="AU45" i="3"/>
  <c r="AT46" i="3"/>
  <c r="AV8" i="3"/>
  <c r="AU29" i="3"/>
  <c r="AT20" i="3"/>
  <c r="AT27" i="3"/>
  <c r="AT41" i="3"/>
  <c r="AU17" i="3"/>
  <c r="AS35" i="3"/>
  <c r="AU23" i="3"/>
  <c r="AU35" i="3"/>
  <c r="AT45" i="3"/>
  <c r="AS52" i="3"/>
  <c r="AS16" i="3"/>
  <c r="AS33" i="3"/>
  <c r="AT21" i="3"/>
  <c r="AV29" i="3"/>
  <c r="AT35" i="3"/>
  <c r="AS15" i="3"/>
  <c r="AT17" i="3"/>
  <c r="AV46" i="3"/>
  <c r="AU15" i="3"/>
  <c r="AS23" i="3"/>
  <c r="AS51" i="3"/>
  <c r="AS46" i="3"/>
  <c r="AU8" i="3"/>
  <c r="AV41" i="3"/>
  <c r="AT52" i="3"/>
  <c r="AT16" i="3"/>
  <c r="AV44" i="3"/>
  <c r="AU22" i="3"/>
  <c r="AT28" i="3"/>
  <c r="AU11" i="3"/>
  <c r="AT33" i="3"/>
  <c r="AU47" i="3"/>
  <c r="AS32" i="3"/>
  <c r="AV52" i="3"/>
  <c r="AS34" i="3"/>
  <c r="AV40" i="3"/>
  <c r="AT14" i="3"/>
  <c r="AV53" i="3"/>
  <c r="AV15" i="3"/>
  <c r="AV39" i="3"/>
  <c r="AS47" i="3"/>
  <c r="AT15" i="3"/>
  <c r="AS53" i="3"/>
  <c r="AV11" i="3"/>
  <c r="AU27" i="3"/>
  <c r="AV35" i="3"/>
  <c r="AT50" i="3"/>
  <c r="AV28" i="3"/>
  <c r="AU16" i="3"/>
  <c r="AU50" i="3"/>
  <c r="AS38" i="3"/>
  <c r="AU46" i="3"/>
  <c r="AT32" i="3"/>
  <c r="AV16" i="3"/>
  <c r="AU20" i="3"/>
  <c r="AT39" i="3"/>
  <c r="AS20" i="3"/>
  <c r="AS45" i="3"/>
  <c r="AS22" i="3"/>
  <c r="AT44" i="3"/>
  <c r="AV32" i="3"/>
  <c r="AS28" i="3"/>
  <c r="AS17" i="3"/>
  <c r="AU44" i="3"/>
  <c r="AV45" i="3"/>
  <c r="W28" i="3"/>
  <c r="V28" i="3"/>
  <c r="W15" i="3"/>
  <c r="V15" i="3"/>
  <c r="AW47" i="3" l="1"/>
  <c r="AV36" i="3"/>
  <c r="AW17" i="3"/>
  <c r="AT48" i="3"/>
  <c r="AW22" i="3"/>
  <c r="AW46" i="3"/>
  <c r="AW10" i="3"/>
  <c r="AT36" i="3"/>
  <c r="AW27" i="3"/>
  <c r="AT54" i="3"/>
  <c r="AV30" i="3"/>
  <c r="AW53" i="3"/>
  <c r="AT24" i="3"/>
  <c r="AT42" i="3"/>
  <c r="AT18" i="3"/>
  <c r="AW51" i="3"/>
  <c r="AS30" i="3"/>
  <c r="AU36" i="3"/>
  <c r="AW32" i="3"/>
  <c r="AW33" i="3"/>
  <c r="AS12" i="3"/>
  <c r="AS42" i="3"/>
  <c r="AV48" i="3"/>
  <c r="AW15" i="3"/>
  <c r="AW9" i="3"/>
  <c r="AV24" i="3"/>
  <c r="AS18" i="3"/>
  <c r="AS54" i="3"/>
  <c r="AS24" i="3"/>
  <c r="AW16" i="3"/>
  <c r="AS36" i="3"/>
  <c r="AW29" i="3"/>
  <c r="AW52" i="3"/>
  <c r="AW28" i="3"/>
  <c r="AW40" i="3"/>
  <c r="AT12" i="3"/>
  <c r="AU48" i="3"/>
  <c r="AW44" i="3"/>
  <c r="AW35" i="3"/>
  <c r="AV12" i="3"/>
  <c r="AW41" i="3"/>
  <c r="AW38" i="3"/>
  <c r="AU42" i="3"/>
  <c r="AU30" i="3"/>
  <c r="AW26" i="3"/>
  <c r="AW21" i="3"/>
  <c r="AS48" i="3"/>
  <c r="AV18" i="3"/>
  <c r="AU18" i="3"/>
  <c r="AW14" i="3"/>
  <c r="AW20" i="3"/>
  <c r="AU24" i="3"/>
  <c r="AW8" i="3"/>
  <c r="AU12" i="3"/>
  <c r="AW23" i="3"/>
  <c r="AW39" i="3"/>
  <c r="AV42" i="3"/>
  <c r="AW34" i="3"/>
  <c r="AW50" i="3"/>
  <c r="AU54" i="3"/>
  <c r="AW11" i="3"/>
  <c r="AW45" i="3"/>
  <c r="AV54" i="3"/>
  <c r="AT30" i="3"/>
  <c r="AW54" i="3" l="1"/>
  <c r="AL53" i="3" s="1"/>
  <c r="AW30" i="3"/>
  <c r="AL27" i="3" s="1"/>
  <c r="AW18" i="3"/>
  <c r="AL14" i="3" s="1"/>
  <c r="AW12" i="3"/>
  <c r="AW48" i="3"/>
  <c r="AL46" i="3" s="1"/>
  <c r="AW42" i="3"/>
  <c r="AL38" i="3" s="1"/>
  <c r="AW24" i="3"/>
  <c r="AL23" i="3" s="1"/>
  <c r="AW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Q53" i="3" s="1"/>
  <c r="AL24" i="3"/>
  <c r="AQ23" i="3" s="1"/>
  <c r="AL18" i="3"/>
  <c r="AQ14" i="3" s="1"/>
  <c r="AL30" i="3"/>
  <c r="AQ27" i="3" s="1"/>
  <c r="AL48" i="3"/>
  <c r="AQ46" i="3" s="1"/>
  <c r="AL36" i="3"/>
  <c r="AQ35" i="3" s="1"/>
  <c r="AL42" i="3"/>
  <c r="AQ38" i="3" s="1"/>
  <c r="AL12" i="3"/>
  <c r="AQ10" i="3" s="1"/>
  <c r="AQ50" i="3" l="1"/>
  <c r="AQ51" i="3"/>
  <c r="AQ20" i="3"/>
  <c r="AQ26" i="3"/>
  <c r="AQ52" i="3"/>
  <c r="AQ44" i="3"/>
  <c r="AQ32" i="3"/>
  <c r="AA32" i="3" s="1"/>
  <c r="AQ8" i="3"/>
  <c r="AQ16" i="3"/>
  <c r="AQ40" i="3"/>
  <c r="AQ45" i="3"/>
  <c r="AQ17" i="3"/>
  <c r="AQ11" i="3"/>
  <c r="AQ33" i="3"/>
  <c r="AQ9" i="3"/>
  <c r="AQ15" i="3"/>
  <c r="AQ39" i="3"/>
  <c r="AQ41" i="3"/>
  <c r="AA41" i="3" s="1"/>
  <c r="AQ22" i="3"/>
  <c r="AQ21" i="3"/>
  <c r="AQ29" i="3"/>
  <c r="AQ34" i="3"/>
  <c r="AQ47" i="3"/>
  <c r="AA47" i="3" s="1"/>
  <c r="AQ28" i="3"/>
  <c r="AA50" i="3"/>
  <c r="AA53" i="3"/>
  <c r="AA35" i="3" l="1"/>
  <c r="AA52" i="3"/>
  <c r="AA51" i="3"/>
  <c r="AA9" i="3"/>
  <c r="AA10" i="3"/>
  <c r="AA22" i="3"/>
  <c r="AA44" i="3"/>
  <c r="AA29" i="3"/>
  <c r="AA11" i="3"/>
  <c r="AA23" i="3"/>
  <c r="AA45" i="3"/>
  <c r="AA40" i="3"/>
  <c r="AA39" i="3"/>
  <c r="AA26" i="3"/>
  <c r="AA20" i="3"/>
  <c r="J21" i="3" s="1"/>
  <c r="AR20" i="3" s="1"/>
  <c r="BC14" i="3" s="1"/>
  <c r="S59" i="3" s="1"/>
  <c r="T59" i="3" s="1"/>
  <c r="BJ13" i="3" s="1"/>
  <c r="AA38" i="3"/>
  <c r="M39" i="3" s="1"/>
  <c r="AA21" i="3"/>
  <c r="AA17" i="3"/>
  <c r="AA27" i="3"/>
  <c r="AA16" i="3"/>
  <c r="AA8" i="3"/>
  <c r="AA34" i="3"/>
  <c r="AA28" i="3"/>
  <c r="AA14" i="3"/>
  <c r="AA33" i="3"/>
  <c r="M34" i="3" s="1"/>
  <c r="AA46" i="3"/>
  <c r="AA15" i="3"/>
  <c r="L51" i="3"/>
  <c r="L52" i="3"/>
  <c r="J51" i="3"/>
  <c r="AR50" i="3" s="1"/>
  <c r="BC38" i="3" s="1"/>
  <c r="M52" i="3"/>
  <c r="J52" i="3"/>
  <c r="AR51" i="3" s="1"/>
  <c r="BC23" i="3" s="1"/>
  <c r="O51" i="3"/>
  <c r="N51" i="3"/>
  <c r="M51" i="3"/>
  <c r="N52" i="3"/>
  <c r="O52" i="3"/>
  <c r="O53" i="3"/>
  <c r="N53" i="3"/>
  <c r="O54" i="3"/>
  <c r="J53" i="3"/>
  <c r="M54" i="3"/>
  <c r="N54" i="3"/>
  <c r="L54" i="3"/>
  <c r="J54" i="3"/>
  <c r="L53" i="3"/>
  <c r="M53" i="3"/>
  <c r="N21" i="3"/>
  <c r="O33" i="3"/>
  <c r="N33" i="3"/>
  <c r="M33" i="3"/>
  <c r="L33" i="3"/>
  <c r="J33" i="3"/>
  <c r="AR32" i="3" s="1"/>
  <c r="BC18" i="3" s="1"/>
  <c r="S62" i="3" s="1"/>
  <c r="T62" i="3" s="1"/>
  <c r="BJ20" i="3" s="1"/>
  <c r="M10" i="3"/>
  <c r="N12" i="3"/>
  <c r="L10" i="3"/>
  <c r="O12" i="3"/>
  <c r="M11" i="3"/>
  <c r="O21" i="3" l="1"/>
  <c r="L21" i="3"/>
  <c r="J41" i="3"/>
  <c r="J46" i="3"/>
  <c r="AR45" i="3" s="1"/>
  <c r="BC39" i="3" s="1"/>
  <c r="L41" i="3"/>
  <c r="M23" i="3"/>
  <c r="N42" i="3"/>
  <c r="K42" i="3" s="1"/>
  <c r="J24" i="3"/>
  <c r="L39" i="3"/>
  <c r="J23" i="3"/>
  <c r="O23" i="3"/>
  <c r="O48" i="3"/>
  <c r="M40" i="3"/>
  <c r="N36" i="3"/>
  <c r="N22" i="3"/>
  <c r="K22" i="3" s="1"/>
  <c r="O46" i="3"/>
  <c r="M22" i="3"/>
  <c r="O17" i="3"/>
  <c r="J29" i="3"/>
  <c r="J40" i="3"/>
  <c r="AR39" i="3" s="1"/>
  <c r="BC19" i="3" s="1"/>
  <c r="L46" i="3"/>
  <c r="L40" i="3"/>
  <c r="O41" i="3"/>
  <c r="M46" i="3"/>
  <c r="P46" i="3" s="1"/>
  <c r="O39" i="3"/>
  <c r="N46" i="3"/>
  <c r="O40" i="3"/>
  <c r="N40" i="3"/>
  <c r="J22" i="3"/>
  <c r="AR21" i="3" s="1"/>
  <c r="BC31" i="3" s="1"/>
  <c r="L42" i="3"/>
  <c r="L23" i="3"/>
  <c r="O24" i="3"/>
  <c r="O22" i="3"/>
  <c r="L22" i="3"/>
  <c r="M21" i="3"/>
  <c r="P21" i="3" s="1"/>
  <c r="L36" i="3"/>
  <c r="L30" i="3"/>
  <c r="M48" i="3"/>
  <c r="J48" i="3"/>
  <c r="N29" i="3"/>
  <c r="N24" i="3"/>
  <c r="N23" i="3"/>
  <c r="O15" i="3"/>
  <c r="J47" i="3"/>
  <c r="L48" i="3"/>
  <c r="L15" i="3"/>
  <c r="N18" i="3"/>
  <c r="L24" i="3"/>
  <c r="J18" i="3"/>
  <c r="N27" i="3"/>
  <c r="M24" i="3"/>
  <c r="N48" i="3"/>
  <c r="J9" i="3"/>
  <c r="AR8" i="3" s="1"/>
  <c r="BC10" i="3" s="1"/>
  <c r="O28" i="3"/>
  <c r="L12" i="3"/>
  <c r="L9" i="3"/>
  <c r="P9" i="3" s="1"/>
  <c r="J39" i="3"/>
  <c r="AR38" i="3" s="1"/>
  <c r="BC34" i="3" s="1"/>
  <c r="S64" i="3" s="1"/>
  <c r="T64" i="3" s="1"/>
  <c r="BJ36" i="3" s="1"/>
  <c r="J30" i="3"/>
  <c r="M29" i="3"/>
  <c r="O27" i="3"/>
  <c r="O35" i="3"/>
  <c r="M27" i="3"/>
  <c r="M41" i="3"/>
  <c r="P41" i="3" s="1"/>
  <c r="N30" i="3"/>
  <c r="N28" i="3"/>
  <c r="O9" i="3"/>
  <c r="O30" i="3"/>
  <c r="N11" i="3"/>
  <c r="J11" i="3"/>
  <c r="N41" i="3"/>
  <c r="O29" i="3"/>
  <c r="L29" i="3"/>
  <c r="N9" i="3"/>
  <c r="L17" i="3"/>
  <c r="N10" i="3"/>
  <c r="K10" i="3" s="1"/>
  <c r="N39" i="3"/>
  <c r="J12" i="3"/>
  <c r="M42" i="3"/>
  <c r="L11" i="3"/>
  <c r="P11" i="3" s="1"/>
  <c r="J10" i="3"/>
  <c r="AR9" i="3" s="1"/>
  <c r="BC27" i="3" s="1"/>
  <c r="J42" i="3"/>
  <c r="O42" i="3"/>
  <c r="O10" i="3"/>
  <c r="J35" i="3"/>
  <c r="J28" i="3"/>
  <c r="AR27" i="3" s="1"/>
  <c r="BC15" i="3" s="1"/>
  <c r="M9" i="3"/>
  <c r="M28" i="3"/>
  <c r="O11" i="3"/>
  <c r="M12" i="3"/>
  <c r="M30" i="3"/>
  <c r="L28" i="3"/>
  <c r="N17" i="3"/>
  <c r="O18" i="3"/>
  <c r="M47" i="3"/>
  <c r="M36" i="3"/>
  <c r="K36" i="3" s="1"/>
  <c r="L45" i="3"/>
  <c r="N16" i="3"/>
  <c r="N15" i="3"/>
  <c r="L34" i="3"/>
  <c r="P34" i="3" s="1"/>
  <c r="O36" i="3"/>
  <c r="L27" i="3"/>
  <c r="P27" i="3" s="1"/>
  <c r="J27" i="3"/>
  <c r="AR26" i="3" s="1"/>
  <c r="BC30" i="3" s="1"/>
  <c r="S61" i="3" s="1"/>
  <c r="T61" i="3" s="1"/>
  <c r="BJ29" i="3" s="1"/>
  <c r="O45" i="3"/>
  <c r="J17" i="3"/>
  <c r="M17" i="3"/>
  <c r="N45" i="3"/>
  <c r="J16" i="3"/>
  <c r="AR15" i="3" s="1"/>
  <c r="BC11" i="3" s="1"/>
  <c r="S58" i="3" s="1"/>
  <c r="T58" i="3" s="1"/>
  <c r="BJ12" i="3" s="1"/>
  <c r="O16" i="3"/>
  <c r="M35" i="3"/>
  <c r="J36" i="3"/>
  <c r="J34" i="3"/>
  <c r="AR33" i="3" s="1"/>
  <c r="BC35" i="3" s="1"/>
  <c r="J45" i="3"/>
  <c r="AR44" i="3" s="1"/>
  <c r="BC22" i="3" s="1"/>
  <c r="S63" i="3" s="1"/>
  <c r="T63" i="3" s="1"/>
  <c r="BJ21" i="3" s="1"/>
  <c r="L35" i="3"/>
  <c r="N34" i="3"/>
  <c r="L47" i="3"/>
  <c r="P47" i="3" s="1"/>
  <c r="L18" i="3"/>
  <c r="M45" i="3"/>
  <c r="N35" i="3"/>
  <c r="O34" i="3"/>
  <c r="N47" i="3"/>
  <c r="O47" i="3"/>
  <c r="J15" i="3"/>
  <c r="AR14" i="3" s="1"/>
  <c r="BC26" i="3" s="1"/>
  <c r="S60" i="3" s="1"/>
  <c r="T60" i="3" s="1"/>
  <c r="BJ28" i="3" s="1"/>
  <c r="M16" i="3"/>
  <c r="P16" i="3" s="1"/>
  <c r="M15" i="3"/>
  <c r="P15" i="3" s="1"/>
  <c r="M18" i="3"/>
  <c r="L16" i="3"/>
  <c r="S69" i="3"/>
  <c r="T69" i="3" s="1"/>
  <c r="BQ16" i="3" s="1"/>
  <c r="S71" i="3"/>
  <c r="T71" i="3" s="1"/>
  <c r="BQ32" i="3" s="1"/>
  <c r="S70" i="3"/>
  <c r="T70" i="3" s="1"/>
  <c r="BQ17" i="3" s="1"/>
  <c r="S65" i="3"/>
  <c r="T65" i="3" s="1"/>
  <c r="BJ37" i="3" s="1"/>
  <c r="S72" i="3" s="1"/>
  <c r="T72" i="3" s="1"/>
  <c r="BQ33" i="3" s="1"/>
  <c r="S77" i="3" s="1"/>
  <c r="T77" i="3" s="1"/>
  <c r="BX24" i="3" s="1"/>
  <c r="P52" i="3"/>
  <c r="K52" i="3"/>
  <c r="P51" i="3"/>
  <c r="K51" i="3"/>
  <c r="P54" i="3"/>
  <c r="K54" i="3"/>
  <c r="P53" i="3"/>
  <c r="K53" i="3"/>
  <c r="P22" i="3"/>
  <c r="P23" i="3"/>
  <c r="K23" i="3"/>
  <c r="P30" i="3"/>
  <c r="P10" i="3"/>
  <c r="K39" i="3"/>
  <c r="P39" i="3"/>
  <c r="P42" i="3"/>
  <c r="K40" i="3"/>
  <c r="P40" i="3"/>
  <c r="P33" i="3"/>
  <c r="K33" i="3"/>
  <c r="K46" i="3" l="1"/>
  <c r="P17" i="3"/>
  <c r="K41" i="3"/>
  <c r="K12" i="3"/>
  <c r="K30" i="3"/>
  <c r="K21" i="3"/>
  <c r="K9" i="3"/>
  <c r="P12" i="3"/>
  <c r="P48" i="3"/>
  <c r="P36" i="3"/>
  <c r="K11" i="3"/>
  <c r="K28" i="3"/>
  <c r="K29" i="3"/>
  <c r="K24" i="3"/>
  <c r="P24" i="3"/>
  <c r="K27" i="3"/>
  <c r="K48" i="3"/>
  <c r="P18" i="3"/>
  <c r="P29" i="3"/>
  <c r="P28" i="3"/>
  <c r="K34" i="3"/>
  <c r="K17" i="3"/>
  <c r="K18" i="3"/>
  <c r="K15" i="3"/>
  <c r="K16" i="3"/>
  <c r="K35" i="3"/>
  <c r="K47" i="3"/>
  <c r="K45" i="3"/>
  <c r="P35" i="3"/>
  <c r="P45" i="3"/>
  <c r="S76" i="3"/>
  <c r="T76" i="3" s="1"/>
  <c r="BX23" i="3" s="1"/>
  <c r="S85" i="3" s="1"/>
  <c r="BU41" i="3" s="1"/>
  <c r="Z76" i="3"/>
  <c r="BX35" i="3" s="1"/>
  <c r="Z77" i="3"/>
  <c r="BX36" i="3" s="1"/>
  <c r="T85" i="3" l="1"/>
</calcChain>
</file>

<file path=xl/sharedStrings.xml><?xml version="1.0" encoding="utf-8"?>
<sst xmlns="http://schemas.openxmlformats.org/spreadsheetml/2006/main" count="4562" uniqueCount="2586">
  <si>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</si>
  <si>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</si>
  <si>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</si>
  <si>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</si>
  <si>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</si>
  <si>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</si>
  <si>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</si>
  <si>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</si>
  <si>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</si>
  <si>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</si>
  <si>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</si>
  <si>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</si>
  <si>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</si>
  <si>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</si>
  <si>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</si>
  <si>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</si>
  <si>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</si>
  <si>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</si>
  <si>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</si>
  <si>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</si>
  <si>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</si>
  <si>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</si>
  <si>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</si>
  <si>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</si>
  <si>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</si>
  <si>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</si>
  <si>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</si>
  <si>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</si>
  <si>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</si>
  <si>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</si>
  <si>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</si>
  <si>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</si>
  <si>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</si>
  <si>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</si>
  <si>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</si>
  <si>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</si>
  <si>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</si>
  <si>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</si>
  <si>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</si>
  <si>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</si>
  <si>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</si>
  <si>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</si>
  <si>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</si>
  <si>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</si>
  <si>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</si>
  <si>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</si>
  <si>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</si>
  <si>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</si>
  <si>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</si>
  <si>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</si>
  <si>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</si>
  <si>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</si>
  <si>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</si>
  <si>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</si>
  <si>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</si>
  <si>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</si>
  <si>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</si>
  <si>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</si>
  <si>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</si>
  <si>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</si>
  <si>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</si>
  <si>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</si>
  <si>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</si>
  <si>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</si>
  <si>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</si>
  <si>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</si>
  <si>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</si>
  <si>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</si>
  <si>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</si>
  <si>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</si>
  <si>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</si>
  <si>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</si>
  <si>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</si>
  <si>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</si>
  <si>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</si>
  <si>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</si>
  <si>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</si>
  <si>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</si>
  <si>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</si>
  <si>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</si>
  <si>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</si>
  <si>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</si>
  <si>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</si>
  <si>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</si>
  <si>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</si>
  <si>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</si>
  <si>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</si>
  <si>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</si>
  <si>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</si>
  <si>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</si>
  <si>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</si>
  <si>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</si>
  <si>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</si>
  <si>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</si>
  <si>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</si>
  <si>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</si>
  <si>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</si>
  <si>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</si>
  <si>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</si>
  <si>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</si>
  <si>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</si>
  <si>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</si>
  <si>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</si>
  <si>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</si>
  <si>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</si>
  <si>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</si>
  <si>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</si>
  <si>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</si>
  <si>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</si>
  <si>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</si>
  <si>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</si>
  <si>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</si>
  <si>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</si>
  <si>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</si>
  <si>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</si>
  <si>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</si>
  <si>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</si>
  <si>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</si>
  <si>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</si>
  <si>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</si>
  <si>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</si>
  <si>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</si>
  <si>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</si>
  <si>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</si>
  <si>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</si>
  <si>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</si>
  <si>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</si>
  <si>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</si>
  <si>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</si>
  <si>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</si>
  <si>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</si>
  <si>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</si>
  <si>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</si>
  <si>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</si>
  <si>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</si>
  <si>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</si>
  <si>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</si>
  <si>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</si>
  <si>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</si>
  <si>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</si>
  <si>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</si>
  <si>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</si>
  <si>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</si>
  <si>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</si>
  <si>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</si>
  <si>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</si>
  <si>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</si>
  <si>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</si>
  <si>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</si>
  <si>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</si>
  <si>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</si>
  <si>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</si>
  <si>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</si>
  <si>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</si>
  <si>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</si>
  <si>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</si>
  <si>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</si>
  <si>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</si>
  <si>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</si>
  <si>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</si>
  <si>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</si>
  <si>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</si>
  <si>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</si>
  <si>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</si>
  <si>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</si>
  <si>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</si>
  <si>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</si>
  <si>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</si>
  <si>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</si>
  <si>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</si>
  <si>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</si>
  <si>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</si>
  <si>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</si>
  <si>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</si>
  <si>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</si>
  <si>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</si>
  <si>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</si>
  <si>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</si>
  <si>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</si>
  <si>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</si>
  <si>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</si>
  <si>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</si>
  <si>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</si>
  <si>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</si>
  <si>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</si>
  <si>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</si>
  <si>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</si>
  <si>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</si>
  <si>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</si>
  <si>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</si>
  <si>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</si>
  <si>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</si>
  <si>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</si>
  <si>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</si>
  <si>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</si>
  <si>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</si>
  <si>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</si>
  <si>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</si>
  <si>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</si>
  <si>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</si>
  <si>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</si>
  <si>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</si>
  <si>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</si>
  <si>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</si>
  <si>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</si>
  <si>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</si>
  <si>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</si>
  <si>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</si>
  <si>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</si>
  <si>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</si>
  <si>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</si>
  <si>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</si>
  <si>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</si>
  <si>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</si>
  <si>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</si>
  <si>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</si>
  <si>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</si>
  <si>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</si>
  <si>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</si>
  <si>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</si>
  <si>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</si>
  <si>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</si>
  <si>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</si>
  <si>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</si>
  <si>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</si>
  <si>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</si>
  <si>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</si>
  <si>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</si>
  <si>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</si>
  <si>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</si>
  <si>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</si>
  <si>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</si>
  <si>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</si>
  <si>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</si>
  <si>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</si>
  <si>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</si>
  <si>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</si>
  <si>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</si>
  <si>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</si>
  <si>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</si>
  <si>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</si>
  <si>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</si>
  <si>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</si>
  <si>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</si>
  <si>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</si>
  <si>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</si>
  <si>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</si>
  <si>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</si>
  <si>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</si>
  <si>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</si>
  <si>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</si>
  <si>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</si>
  <si>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</si>
  <si>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</si>
  <si>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</si>
  <si>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</si>
  <si>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</si>
  <si>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</si>
  <si>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</si>
  <si>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</si>
  <si>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</si>
  <si>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</si>
  <si>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</si>
  <si>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</si>
  <si>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</si>
  <si>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</si>
  <si>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</si>
  <si>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</si>
  <si>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</si>
  <si>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</si>
  <si>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</si>
  <si>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</si>
  <si>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</si>
  <si>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</si>
  <si>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</si>
  <si>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</si>
  <si>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</si>
  <si>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</si>
  <si>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</si>
  <si>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</si>
  <si>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</si>
  <si>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</si>
  <si>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</si>
  <si>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</si>
  <si>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</si>
  <si>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</si>
  <si>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</si>
  <si>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</si>
  <si>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</si>
  <si>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</si>
  <si>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</si>
  <si>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</si>
  <si>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</si>
  <si>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</si>
  <si>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</si>
  <si>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</si>
  <si>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</si>
  <si>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</si>
  <si>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</si>
  <si>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</si>
  <si>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</si>
  <si>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</si>
  <si>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</si>
  <si>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</si>
  <si>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</si>
  <si>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</si>
  <si>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</si>
  <si>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</si>
  <si>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</si>
  <si>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</si>
  <si>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</si>
  <si>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</si>
  <si>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</si>
  <si>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</si>
  <si>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</si>
  <si>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</si>
  <si>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</si>
  <si>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</si>
  <si>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</si>
  <si>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</si>
  <si>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</si>
  <si>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</si>
  <si>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</si>
  <si>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</si>
  <si>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</si>
  <si>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</si>
  <si>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</si>
  <si>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</si>
  <si>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</si>
  <si>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</si>
  <si>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</si>
  <si>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</si>
  <si>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</si>
  <si>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</si>
  <si>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</si>
  <si>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</si>
  <si>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</si>
  <si>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</si>
  <si>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</si>
  <si>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</si>
  <si>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</si>
  <si>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</si>
  <si>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</si>
  <si>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</si>
  <si>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</si>
  <si>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</si>
  <si>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</si>
  <si>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</si>
  <si>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</si>
  <si>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</si>
  <si>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</si>
  <si>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</si>
  <si>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</si>
  <si>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</si>
  <si>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</si>
  <si>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</si>
  <si>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</si>
  <si>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</si>
  <si>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</si>
  <si>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</si>
  <si>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</si>
  <si>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</si>
  <si>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</si>
  <si>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</si>
  <si>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</si>
  <si>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</si>
  <si>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</si>
  <si>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</si>
  <si>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</si>
  <si>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</si>
  <si>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</si>
  <si>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</si>
  <si>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</si>
  <si>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</si>
  <si>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</si>
  <si>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</si>
  <si>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</si>
  <si>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</si>
  <si>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</si>
  <si>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</si>
  <si>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</si>
  <si>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</si>
  <si>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</si>
  <si>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</si>
  <si>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</si>
  <si>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</si>
  <si>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</si>
  <si>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</si>
  <si>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</si>
  <si>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</si>
  <si>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</si>
  <si>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</si>
  <si>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</si>
  <si>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</si>
  <si>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</si>
  <si>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</si>
  <si>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</si>
  <si>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</si>
  <si>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</si>
  <si>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</si>
  <si>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</si>
  <si>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</si>
  <si>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</si>
  <si>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</si>
  <si>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</si>
  <si>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</si>
  <si>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</si>
  <si>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</si>
  <si>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</si>
  <si>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</si>
  <si>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</si>
  <si>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</si>
  <si>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</si>
  <si>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</si>
  <si>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</si>
  <si>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</si>
  <si>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</si>
  <si>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</si>
  <si>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</si>
  <si>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</si>
  <si>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</si>
  <si>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</si>
  <si>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</si>
  <si>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</si>
  <si>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</si>
  <si>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</si>
  <si>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</si>
  <si>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</si>
  <si>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</si>
  <si>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</si>
  <si>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</si>
  <si>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</si>
  <si>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</si>
  <si>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</si>
  <si>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</si>
  <si>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</si>
  <si>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</si>
  <si>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</si>
  <si>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</si>
  <si>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</si>
  <si>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</si>
  <si>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</si>
  <si>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</si>
  <si>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</si>
  <si>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</si>
  <si>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</si>
  <si>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</si>
  <si>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</si>
  <si>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</si>
  <si>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</si>
  <si>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</si>
  <si>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</si>
  <si>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</si>
  <si>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</si>
  <si>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</si>
  <si>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</si>
  <si>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</si>
  <si>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</si>
  <si>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</si>
  <si>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</si>
  <si>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</si>
  <si>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</si>
  <si>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</si>
  <si>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</si>
  <si>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</si>
  <si>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</si>
  <si>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</si>
  <si>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</si>
  <si>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</si>
  <si>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</si>
  <si>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</si>
  <si>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</si>
  <si>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</si>
  <si>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</si>
  <si>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</si>
  <si>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</si>
  <si>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</si>
  <si>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</si>
  <si>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</si>
  <si>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</si>
  <si>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</si>
  <si>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</si>
  <si>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</si>
  <si>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</si>
  <si>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</si>
  <si>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</si>
  <si>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</si>
  <si>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</si>
  <si>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</si>
  <si>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</si>
  <si>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</si>
  <si>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</si>
  <si>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</si>
  <si>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</si>
  <si>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</si>
  <si>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</si>
  <si>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</si>
  <si>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</si>
  <si>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</si>
  <si>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</si>
  <si>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</si>
  <si>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</si>
  <si>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</si>
  <si>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</si>
  <si>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</si>
  <si>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</si>
  <si>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</si>
  <si>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</si>
  <si>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</si>
  <si>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</si>
  <si>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</si>
  <si>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</si>
  <si>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</si>
  <si>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</si>
  <si>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</si>
  <si>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</si>
  <si>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</si>
  <si>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</si>
  <si>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</si>
  <si>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</si>
  <si>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</si>
  <si>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</si>
  <si>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</si>
  <si>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</si>
  <si>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</si>
  <si>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</si>
  <si>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</si>
  <si>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</si>
  <si>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</si>
  <si>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</si>
  <si>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</si>
  <si>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</si>
  <si>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</si>
  <si>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</si>
  <si>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</si>
  <si>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</si>
  <si>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</si>
  <si>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</si>
  <si>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</si>
  <si>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</si>
  <si>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</si>
  <si>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</si>
  <si>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</si>
  <si>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</si>
  <si>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</si>
  <si>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</si>
  <si>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</si>
  <si>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</si>
  <si>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</si>
  <si>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</si>
  <si>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</si>
  <si>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</si>
  <si>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</si>
  <si>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</si>
  <si>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</si>
  <si>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</si>
  <si>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</si>
  <si>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</si>
  <si>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</si>
  <si>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</si>
  <si>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</si>
  <si>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</si>
  <si>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</si>
  <si>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</si>
  <si>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</si>
  <si>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</si>
  <si>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</si>
  <si>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</si>
  <si>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</si>
  <si>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</si>
  <si>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</si>
  <si>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</si>
  <si>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</si>
  <si>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</si>
  <si>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</si>
  <si>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</si>
  <si>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</si>
  <si>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</si>
  <si>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</si>
  <si>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</si>
  <si>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</si>
  <si>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</si>
  <si>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</si>
  <si>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</si>
  <si>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</si>
  <si>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</si>
  <si>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</si>
  <si>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</si>
  <si>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</si>
  <si>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</si>
  <si>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</si>
  <si>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</si>
  <si>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</si>
  <si>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</si>
  <si>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</si>
  <si>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</si>
  <si>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</si>
  <si>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</si>
  <si>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</si>
  <si>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</si>
  <si>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</si>
  <si>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</si>
  <si>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</si>
  <si>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</si>
  <si>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</si>
  <si>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</si>
  <si>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</si>
  <si>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</si>
  <si>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</si>
  <si>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</si>
  <si>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</si>
  <si>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</si>
  <si>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</si>
  <si>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</si>
  <si>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</si>
  <si>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</si>
  <si>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</si>
  <si>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</si>
  <si>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</si>
  <si>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</si>
  <si>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</si>
  <si>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</si>
  <si>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</si>
  <si>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</si>
  <si>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</si>
  <si>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</si>
  <si>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</si>
  <si>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</si>
  <si>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</si>
  <si>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</si>
  <si>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</si>
  <si>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</si>
  <si>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</si>
  <si>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</si>
  <si>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</si>
  <si>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</si>
  <si>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</si>
  <si>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</si>
  <si>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</si>
  <si>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</si>
  <si>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</si>
  <si>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</si>
  <si>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</si>
  <si>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</si>
  <si>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</si>
  <si>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</si>
  <si>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</si>
  <si>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</si>
  <si>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</si>
  <si>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</si>
  <si>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</si>
  <si>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</si>
  <si>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</si>
  <si>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</si>
  <si>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</si>
  <si>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</si>
  <si>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</si>
  <si>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</si>
  <si>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</si>
  <si>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</si>
  <si>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</si>
  <si>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</si>
  <si>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</si>
  <si>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</si>
  <si>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</si>
  <si>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</si>
  <si>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</si>
  <si>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</si>
  <si>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</si>
  <si>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</si>
  <si>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</si>
  <si>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</si>
  <si>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</si>
  <si>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</si>
  <si>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</si>
  <si>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</si>
  <si>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</si>
  <si>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</si>
  <si>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</si>
  <si>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</si>
  <si>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</si>
  <si>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</si>
  <si>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</si>
  <si>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</si>
  <si>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</si>
  <si>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</si>
  <si>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</si>
  <si>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</si>
  <si>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</si>
  <si>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</si>
  <si>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</si>
  <si>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</si>
  <si>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</si>
  <si>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</si>
  <si>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</si>
  <si>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</si>
  <si>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</si>
  <si>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</si>
  <si>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</si>
  <si>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</si>
  <si>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</si>
  <si>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</si>
  <si>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</si>
  <si>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</si>
  <si>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</si>
  <si>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</si>
  <si>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</si>
  <si>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</si>
  <si>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</si>
  <si>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</si>
  <si>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</si>
  <si>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</si>
  <si>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</si>
  <si>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</si>
  <si>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</si>
  <si>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</si>
  <si>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</si>
  <si>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</si>
  <si>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</si>
  <si>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</si>
  <si>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</si>
  <si>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</si>
  <si>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</si>
  <si>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</si>
  <si>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</si>
  <si>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</si>
  <si>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</si>
  <si>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</si>
  <si>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</si>
  <si>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</si>
  <si>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</si>
  <si>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</si>
  <si>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</si>
  <si>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</si>
  <si>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</si>
  <si>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</si>
  <si>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</si>
  <si>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</si>
  <si>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</si>
  <si>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</si>
  <si>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</si>
  <si>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</si>
  <si>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</si>
  <si>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</si>
  <si>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</si>
  <si>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</si>
  <si>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</si>
  <si>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</si>
  <si>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</si>
  <si>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</si>
  <si>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</si>
  <si>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</si>
  <si>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</si>
  <si>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</si>
  <si>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</si>
  <si>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</si>
  <si>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</si>
  <si>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</si>
  <si>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</si>
  <si>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</si>
  <si>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</si>
  <si>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</si>
  <si>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</si>
  <si>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</si>
  <si>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</si>
  <si>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</si>
  <si>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</si>
  <si>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</si>
  <si>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</si>
  <si>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</si>
  <si>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</si>
  <si>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</si>
  <si>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</si>
  <si>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</si>
  <si>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</si>
  <si>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</si>
  <si>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</si>
  <si>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</si>
  <si>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</si>
  <si>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</si>
  <si>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</si>
  <si>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</si>
  <si>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</si>
  <si>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</si>
  <si>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</si>
  <si>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</si>
  <si>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</si>
  <si>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</si>
  <si>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</si>
  <si>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</si>
  <si>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</si>
  <si>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</si>
  <si>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</si>
  <si>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</si>
  <si>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</si>
  <si>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</si>
  <si>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</si>
  <si>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</si>
  <si>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</si>
  <si>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</si>
  <si>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</si>
  <si>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</si>
  <si>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</si>
  <si>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</si>
  <si>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</si>
  <si>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</si>
  <si>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</si>
  <si>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</si>
  <si>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</si>
  <si>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</si>
  <si>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</si>
  <si>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</si>
  <si>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</si>
  <si>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</si>
  <si>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</si>
  <si>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</si>
  <si>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</si>
  <si>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</si>
  <si>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</si>
  <si>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</si>
  <si>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</si>
  <si>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</si>
  <si>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</si>
  <si>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</si>
  <si>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</si>
  <si>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</si>
  <si>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</si>
  <si>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</si>
  <si>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</si>
  <si>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</si>
  <si>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</si>
  <si>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</si>
  <si>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</si>
  <si>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</si>
  <si>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</si>
  <si>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</si>
  <si>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</si>
  <si>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</si>
  <si>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</si>
  <si>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</si>
  <si>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</si>
  <si>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</si>
  <si>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</si>
  <si>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</si>
  <si>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</si>
  <si>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</si>
  <si>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</si>
  <si>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</si>
  <si>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</si>
  <si>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</si>
  <si>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</si>
  <si>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</si>
  <si>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</si>
  <si>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</si>
  <si>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</si>
  <si>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</si>
  <si>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</si>
  <si>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</si>
  <si>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</si>
  <si>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</si>
  <si>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</si>
  <si>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</si>
  <si>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</si>
  <si>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</si>
  <si>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</si>
  <si>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</si>
  <si>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</si>
  <si>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</si>
  <si>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</si>
  <si>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</si>
  <si>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</si>
  <si>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</si>
  <si>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</si>
  <si>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</si>
  <si>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</si>
  <si>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</si>
  <si>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</si>
  <si>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</si>
  <si>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</si>
  <si>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</si>
  <si>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</si>
  <si>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</si>
  <si>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</si>
  <si>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</si>
  <si>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</si>
  <si>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</si>
  <si>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</si>
  <si>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</si>
  <si>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</si>
  <si>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</si>
  <si>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</si>
  <si>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</si>
  <si>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</si>
  <si>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</si>
  <si>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</si>
  <si>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</si>
  <si>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</si>
  <si>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</si>
  <si>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</si>
  <si>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</si>
  <si>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</si>
  <si>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</si>
  <si>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</si>
  <si>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</si>
  <si>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</si>
  <si>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</si>
  <si>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</si>
  <si>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</si>
  <si>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</si>
  <si>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</si>
  <si>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</si>
  <si>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</si>
  <si>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</si>
  <si>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</si>
  <si>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</si>
  <si>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</si>
  <si>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</si>
  <si>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</si>
  <si>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</si>
  <si>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</si>
  <si>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</si>
  <si>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</si>
  <si>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</si>
  <si>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</si>
  <si>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</si>
  <si>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</si>
  <si>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</si>
  <si>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</si>
  <si>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</si>
  <si>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</si>
  <si>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</si>
  <si>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</si>
  <si>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</si>
  <si>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</si>
  <si>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</si>
  <si>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</si>
  <si>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</si>
  <si>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</si>
  <si>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</si>
  <si>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</si>
  <si>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</si>
  <si>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</si>
  <si>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</si>
  <si>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</si>
  <si>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</si>
  <si>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</si>
  <si>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</si>
  <si>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</si>
  <si>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</si>
  <si>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</si>
  <si>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</si>
  <si>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</si>
  <si>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</si>
  <si>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</si>
  <si>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</si>
  <si>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</si>
  <si>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</si>
  <si>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</si>
  <si>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</si>
  <si>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</si>
  <si>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</si>
  <si>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</si>
  <si>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</si>
  <si>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</si>
  <si>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</si>
  <si>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</si>
  <si>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</si>
  <si>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</si>
  <si>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</si>
  <si>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</si>
  <si>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</si>
  <si>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</si>
  <si>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</si>
  <si>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</si>
  <si>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</si>
  <si>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</si>
  <si>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</si>
  <si>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</si>
  <si>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</si>
  <si>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</si>
  <si>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</si>
  <si>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</si>
  <si>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</si>
  <si>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</si>
  <si>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</si>
  <si>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</si>
  <si>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</si>
  <si>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</si>
  <si>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</si>
  <si>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</si>
  <si>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</si>
  <si>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</si>
  <si>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</si>
  <si>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</si>
  <si>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</si>
  <si>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</si>
  <si>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</si>
  <si>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</si>
  <si>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</si>
  <si>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</si>
  <si>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</si>
  <si>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</si>
  <si>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</si>
  <si>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</si>
  <si>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</si>
  <si>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</si>
  <si>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</si>
  <si>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</si>
  <si>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</si>
  <si>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</si>
  <si>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</si>
  <si>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</si>
  <si>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</si>
  <si>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</si>
  <si>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</si>
  <si>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</si>
  <si>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</si>
  <si>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</si>
  <si>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</si>
  <si>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</si>
  <si>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</si>
  <si>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</si>
  <si>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</si>
  <si>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</si>
  <si>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</si>
  <si>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</si>
  <si>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</si>
  <si>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</si>
  <si>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</si>
  <si>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</si>
  <si>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</si>
  <si>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</si>
  <si>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</si>
  <si>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</si>
  <si>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</si>
  <si>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</si>
  <si>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</si>
  <si>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</si>
  <si>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</si>
  <si>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</si>
  <si>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</si>
  <si>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</si>
  <si>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</si>
  <si>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</si>
  <si>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</si>
  <si>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</si>
  <si>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</si>
  <si>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</si>
  <si>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</si>
  <si>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</si>
  <si>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</si>
  <si>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</si>
  <si>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</si>
  <si>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</si>
  <si>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</si>
  <si>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</si>
  <si>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</si>
  <si>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</si>
  <si>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</si>
  <si>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</si>
  <si>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</si>
  <si>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</si>
  <si>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</si>
  <si>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</si>
  <si>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</si>
  <si>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</si>
  <si>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</si>
  <si>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</si>
  <si>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</si>
  <si>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</si>
  <si>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</si>
  <si>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</si>
  <si>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</si>
  <si>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</si>
  <si>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</si>
  <si>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</si>
  <si>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</si>
  <si>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</si>
  <si>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</si>
  <si>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</si>
  <si>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</si>
  <si>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</si>
  <si>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</si>
  <si>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</si>
  <si>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</si>
  <si>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</si>
  <si>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</si>
  <si>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</si>
  <si>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</si>
  <si>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</si>
  <si>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</si>
  <si>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</si>
  <si>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</si>
  <si>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</si>
  <si>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</si>
  <si>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</si>
  <si>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</si>
  <si>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</si>
  <si>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</si>
  <si>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</si>
  <si>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</si>
  <si>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</si>
  <si>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</si>
  <si>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</si>
  <si>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</si>
  <si>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</si>
  <si>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</si>
  <si>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</si>
  <si>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</si>
  <si>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</si>
  <si>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</si>
  <si>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</si>
  <si>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</si>
  <si>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</si>
  <si>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</si>
  <si>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</si>
  <si>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</si>
  <si>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</si>
  <si>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</si>
  <si>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</si>
  <si>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</si>
  <si>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</si>
  <si>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</si>
  <si>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</si>
  <si>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</si>
  <si>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</si>
  <si>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</si>
  <si>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</si>
  <si>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</si>
  <si>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</si>
  <si>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</si>
  <si>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</si>
  <si>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</si>
  <si>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</si>
  <si>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</si>
  <si>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</si>
  <si>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</si>
  <si>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</si>
  <si>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</si>
  <si>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</si>
  <si>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</si>
  <si>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</si>
  <si>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</si>
  <si>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</si>
  <si>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</si>
  <si>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</si>
  <si>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</si>
  <si>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</si>
  <si>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</si>
  <si>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</si>
  <si>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</si>
  <si>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</si>
  <si>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</si>
  <si>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</si>
  <si>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</si>
  <si>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</si>
  <si>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</si>
  <si>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</si>
  <si>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</si>
  <si>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</si>
  <si>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</si>
  <si>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</si>
  <si>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</si>
  <si>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</si>
  <si>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</si>
  <si>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</si>
  <si>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</si>
  <si>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</si>
  <si>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</si>
  <si>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</si>
  <si>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</si>
  <si>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</si>
  <si>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</si>
  <si>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</si>
  <si>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</si>
  <si>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</si>
  <si>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</si>
  <si>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</si>
  <si>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</si>
  <si>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</si>
  <si>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</si>
  <si>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</si>
  <si>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</si>
  <si>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</si>
  <si>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</si>
  <si>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</si>
  <si>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</si>
  <si>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</si>
  <si>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</si>
  <si>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</si>
  <si>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</si>
  <si>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</si>
  <si>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</si>
  <si>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</si>
  <si>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</si>
  <si>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</si>
  <si>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</si>
  <si>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</si>
  <si>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</si>
  <si>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</si>
  <si>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</si>
  <si>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</si>
  <si>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</si>
  <si>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</si>
  <si>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</si>
  <si>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</si>
  <si>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</si>
  <si>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</si>
  <si>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</si>
  <si>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</si>
  <si>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</si>
  <si>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</si>
  <si>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</si>
  <si>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</si>
  <si>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</si>
  <si>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</si>
  <si>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</si>
  <si>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</si>
  <si>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</si>
  <si>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</si>
  <si>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</si>
  <si>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</si>
  <si>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</si>
  <si>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</si>
  <si>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</si>
  <si>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</si>
  <si>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</si>
  <si>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</si>
  <si>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</si>
  <si>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</si>
  <si>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</si>
  <si>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</si>
  <si>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</si>
  <si>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</si>
  <si>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</si>
  <si>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</si>
  <si>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</si>
  <si>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</si>
  <si>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</si>
  <si>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</si>
  <si>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</si>
  <si>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</si>
  <si>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</si>
  <si>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</si>
  <si>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</si>
  <si>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</si>
  <si>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</si>
  <si>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</si>
  <si>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</si>
  <si>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</si>
  <si>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</si>
  <si>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</si>
  <si>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</si>
  <si>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</si>
  <si>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</si>
  <si>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</si>
  <si>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</si>
  <si>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</si>
  <si>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</si>
  <si>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</si>
  <si>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</si>
  <si>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</si>
  <si>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</si>
  <si>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</si>
  <si>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</si>
  <si>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</si>
  <si>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</si>
  <si>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</si>
  <si>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</si>
  <si>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</si>
  <si>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</si>
  <si>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</si>
  <si>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</si>
  <si>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</si>
  <si>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</si>
  <si>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</si>
  <si>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</si>
  <si>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</si>
  <si>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</si>
  <si>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</si>
  <si>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</si>
  <si>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</si>
  <si>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</si>
  <si>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</si>
  <si>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</si>
  <si>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</si>
  <si>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</si>
  <si>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</si>
  <si>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</si>
  <si>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</si>
  <si>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</si>
  <si>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</si>
  <si>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</si>
  <si>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</si>
  <si>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</si>
  <si>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</si>
  <si>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</si>
  <si>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</si>
  <si>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</si>
  <si>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</si>
  <si>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</si>
  <si>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</si>
  <si>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</si>
  <si>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</si>
  <si>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</si>
  <si>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</si>
  <si>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</si>
  <si>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</si>
  <si>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</si>
  <si>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</si>
  <si>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</si>
  <si>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</si>
  <si>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</si>
  <si>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</si>
  <si>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</si>
  <si>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</si>
  <si>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</si>
  <si>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</si>
  <si>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</si>
  <si>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</si>
  <si>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</si>
  <si>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</si>
  <si>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</si>
  <si>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</si>
  <si>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</si>
  <si>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</si>
  <si>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</si>
  <si>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</si>
  <si>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</si>
  <si>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</si>
  <si>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</si>
  <si>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</si>
  <si>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</si>
  <si>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</si>
  <si>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</si>
  <si>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</si>
  <si>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</si>
  <si>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</si>
  <si>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</si>
  <si>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</si>
  <si>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</si>
  <si>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</si>
  <si>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</si>
  <si>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</si>
  <si>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</si>
  <si>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</si>
  <si>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</si>
  <si>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</si>
  <si>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</si>
  <si>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</si>
  <si>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</si>
  <si>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</si>
  <si>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</si>
  <si>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</si>
  <si>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</si>
  <si>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</si>
  <si>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</si>
  <si>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</si>
  <si>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</si>
  <si>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</si>
  <si>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</si>
  <si>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</si>
  <si>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</si>
  <si>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</si>
  <si>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</si>
  <si>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</si>
  <si>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</si>
  <si>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</si>
  <si>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</si>
  <si>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</si>
  <si>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</si>
  <si>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</si>
  <si>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</si>
  <si>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</si>
  <si>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</si>
  <si>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</si>
  <si>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</si>
  <si>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</si>
  <si>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</si>
  <si>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</si>
  <si>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</si>
  <si>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</si>
  <si>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</si>
  <si>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</si>
  <si>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</si>
  <si>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</si>
  <si>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</si>
  <si>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</si>
  <si>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</si>
  <si>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</si>
  <si>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</si>
  <si>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</si>
  <si>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</si>
  <si>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</si>
  <si>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</si>
  <si>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</si>
  <si>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</si>
  <si>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</si>
  <si>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</si>
  <si>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</si>
  <si>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</si>
  <si>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</si>
  <si>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</si>
  <si>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</si>
  <si>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</si>
  <si>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</si>
  <si>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</si>
  <si>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</si>
  <si>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</si>
  <si>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</si>
  <si>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</si>
  <si>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</si>
  <si>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</si>
  <si>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</si>
  <si>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</si>
  <si>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</si>
  <si>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</si>
  <si>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</si>
  <si>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</si>
  <si>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</si>
  <si>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</si>
  <si>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</si>
  <si>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</si>
  <si>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</si>
  <si>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</si>
  <si>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</si>
  <si>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</si>
  <si>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</si>
  <si>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</si>
  <si>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</si>
  <si>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</si>
  <si>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</si>
  <si>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</si>
  <si>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</si>
  <si>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</si>
  <si>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</si>
  <si>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</si>
  <si>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</si>
  <si>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</si>
  <si>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</si>
  <si>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</si>
  <si>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</si>
  <si>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</si>
  <si>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</si>
  <si>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</si>
  <si>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</si>
  <si>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</si>
  <si>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</si>
  <si>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</si>
  <si>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</si>
  <si>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</si>
  <si>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</si>
  <si>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</si>
  <si>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</si>
  <si>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</si>
  <si>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</si>
  <si>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</si>
  <si>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</si>
  <si>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</si>
  <si>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</si>
  <si>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</si>
  <si>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</si>
  <si>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</si>
  <si>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</si>
  <si>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</si>
  <si>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</si>
  <si>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</si>
  <si>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</si>
  <si>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</si>
  <si>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</si>
  <si>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</si>
  <si>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</si>
  <si>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</si>
  <si>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</si>
  <si>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</si>
  <si>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</si>
  <si>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</si>
  <si>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</si>
  <si>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</si>
  <si>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</si>
  <si>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</si>
  <si>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</si>
  <si>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</si>
  <si>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</si>
  <si>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</si>
  <si>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</si>
  <si>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</si>
  <si>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</si>
  <si>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</si>
  <si>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</si>
  <si>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</si>
  <si>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</si>
  <si>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</si>
  <si>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</si>
  <si>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</si>
  <si>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</si>
  <si>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</si>
  <si>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</si>
  <si>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</si>
  <si>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</si>
  <si>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</si>
  <si>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</si>
  <si>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</si>
  <si>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</si>
  <si>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</si>
  <si>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</si>
  <si>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</si>
  <si>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</si>
  <si>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</si>
  <si>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</si>
  <si>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</si>
  <si>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</si>
  <si>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</si>
  <si>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</si>
  <si>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</si>
  <si>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</si>
  <si>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</si>
  <si>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</si>
  <si>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</si>
  <si>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</si>
  <si>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</si>
  <si>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</si>
  <si>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</si>
  <si>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</si>
  <si>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</si>
  <si>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</si>
  <si>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</si>
  <si>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</si>
  <si>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</si>
  <si>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</si>
  <si>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</si>
  <si>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</si>
  <si>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</si>
  <si>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</si>
  <si>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</si>
  <si>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</si>
  <si>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</si>
  <si>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</si>
  <si>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</si>
  <si>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</si>
  <si>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</si>
  <si>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</si>
  <si>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</si>
  <si>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</si>
  <si>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</si>
  <si>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</si>
  <si>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</si>
  <si>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</si>
  <si>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</si>
  <si>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</si>
  <si>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</si>
  <si>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</si>
  <si>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</si>
  <si>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</si>
  <si>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</si>
  <si>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</si>
  <si>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</si>
  <si>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</si>
  <si>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</si>
  <si>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</si>
  <si>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</si>
  <si>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</si>
  <si>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</si>
  <si>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</si>
  <si>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</si>
  <si>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</si>
  <si>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</si>
  <si>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</si>
  <si>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</si>
  <si>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</si>
  <si>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</si>
  <si>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</si>
  <si>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</si>
  <si>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</si>
  <si>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</si>
  <si>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</si>
  <si>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</si>
  <si>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</si>
  <si>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</si>
  <si>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</si>
  <si>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</si>
  <si>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</si>
  <si>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</si>
  <si>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</si>
  <si>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</si>
  <si>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</si>
  <si>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</si>
  <si>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</si>
  <si>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</si>
  <si>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</si>
  <si>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</si>
  <si>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</si>
  <si>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</si>
  <si>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</si>
  <si>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</si>
  <si>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</si>
  <si>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</si>
  <si>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</si>
  <si>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</si>
  <si>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</si>
  <si>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</si>
  <si>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</si>
  <si>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</si>
  <si>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</si>
  <si>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</si>
  <si>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</si>
  <si>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</si>
  <si>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</si>
  <si>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</si>
  <si>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</si>
  <si>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</si>
  <si>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</si>
  <si>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</si>
  <si>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</si>
  <si>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</si>
  <si>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</si>
  <si>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</si>
  <si>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</si>
  <si>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</si>
  <si>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</si>
  <si>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</si>
  <si>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</si>
  <si>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</si>
  <si>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</si>
  <si>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</si>
  <si>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</si>
  <si>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</si>
  <si>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</si>
  <si>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</si>
  <si>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</si>
  <si>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</si>
  <si>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</si>
  <si>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</si>
  <si>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</si>
  <si>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</si>
  <si>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</si>
  <si>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</si>
  <si>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</si>
  <si>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</si>
  <si>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</si>
  <si>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</si>
  <si>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</si>
  <si>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</si>
  <si>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</si>
  <si>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</si>
  <si>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</si>
  <si>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</si>
  <si>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</si>
  <si>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</si>
  <si>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</si>
  <si>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</si>
  <si>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</si>
  <si>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</si>
  <si>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</si>
  <si>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</si>
  <si>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</si>
  <si>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</si>
  <si>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</si>
  <si>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</si>
  <si>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</si>
  <si>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</si>
  <si>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</si>
  <si>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</si>
  <si>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</si>
  <si>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</si>
  <si>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</si>
  <si>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</si>
  <si>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</si>
  <si>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</si>
  <si>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</si>
  <si>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</si>
  <si>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</si>
  <si>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</si>
  <si>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</si>
  <si>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</si>
  <si>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</si>
  <si>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</si>
  <si>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</si>
  <si>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</si>
  <si>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</si>
  <si>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</si>
  <si>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</si>
  <si>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</si>
  <si>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</si>
  <si>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</si>
  <si>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</si>
  <si>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</si>
  <si>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</si>
  <si>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</si>
  <si>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</si>
  <si>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</si>
  <si>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</si>
  <si>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</si>
  <si>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</si>
  <si>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</si>
  <si>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</si>
  <si>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</si>
  <si>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</si>
  <si>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</si>
  <si>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</si>
  <si>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</si>
  <si>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</si>
  <si>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</si>
  <si>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</si>
  <si>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</si>
  <si>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</si>
  <si>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</si>
  <si>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</si>
  <si>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</si>
  <si>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</si>
  <si>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</si>
  <si>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</si>
  <si>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</si>
  <si>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</si>
  <si>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</si>
  <si>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</si>
  <si>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</si>
  <si>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</si>
  <si>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</si>
  <si>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</si>
  <si>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</si>
  <si>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</si>
  <si>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</si>
  <si>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</si>
  <si>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</si>
  <si>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</si>
  <si>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</si>
  <si>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</si>
  <si>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</si>
  <si>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</si>
  <si>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</si>
  <si>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</si>
  <si>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</si>
  <si>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</si>
  <si>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</si>
  <si>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</si>
  <si>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</si>
  <si>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</si>
  <si>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</si>
  <si>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</si>
  <si>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</si>
  <si>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</si>
  <si>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</si>
  <si>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</si>
  <si>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</si>
  <si>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</si>
  <si>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</si>
  <si>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</si>
  <si>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</si>
  <si>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</si>
  <si>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</si>
  <si>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</si>
  <si>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</si>
  <si>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</si>
  <si>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</si>
  <si>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</si>
  <si>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</si>
  <si>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</si>
  <si>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</si>
  <si>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</si>
  <si>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</si>
  <si>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</si>
  <si>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</si>
  <si>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</si>
  <si>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</si>
  <si>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</si>
  <si>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</si>
  <si>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</si>
  <si>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</si>
  <si>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</si>
  <si>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</si>
  <si>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</si>
  <si>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</si>
  <si>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</si>
  <si>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</si>
  <si>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</si>
  <si>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</si>
  <si>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</si>
  <si>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</si>
  <si>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</si>
  <si>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</si>
  <si>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</si>
  <si>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</si>
  <si>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</si>
  <si>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</si>
  <si>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</si>
  <si>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</si>
  <si>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</si>
  <si>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</si>
  <si>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</si>
  <si>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</si>
  <si>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</si>
  <si>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</si>
  <si>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</si>
  <si>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</si>
  <si>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</si>
  <si>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</si>
  <si>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</si>
  <si>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</si>
  <si>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</si>
  <si>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</si>
  <si>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</si>
  <si>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</si>
  <si>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</si>
  <si>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</si>
  <si>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</si>
  <si>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</si>
  <si>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</si>
  <si>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</si>
  <si>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</si>
  <si>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</si>
  <si>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</si>
  <si>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</si>
  <si>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</si>
  <si>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</si>
  <si>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</si>
  <si>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</si>
  <si>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</si>
  <si>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</si>
  <si>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</si>
  <si>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</si>
  <si>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</si>
  <si>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</si>
  <si>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</si>
  <si>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</si>
  <si>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</si>
  <si>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</si>
  <si>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</si>
  <si>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</si>
  <si>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</si>
  <si>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</si>
  <si>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</si>
  <si>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</si>
  <si>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</si>
  <si>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</si>
  <si>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</si>
  <si>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</si>
  <si>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</si>
  <si>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</si>
  <si>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</si>
  <si>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</si>
  <si>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</si>
  <si>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</si>
  <si>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</si>
  <si>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</si>
  <si>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</si>
  <si>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</si>
  <si>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</si>
  <si>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</si>
  <si>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</si>
  <si>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</si>
  <si>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</si>
  <si>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</si>
  <si>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</si>
  <si>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</si>
  <si>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</si>
  <si>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</si>
  <si>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</si>
  <si>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</si>
  <si>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</si>
  <si>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</si>
  <si>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</si>
  <si>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</si>
  <si>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</si>
  <si>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</si>
  <si>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</si>
  <si>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</si>
  <si>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</si>
  <si>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</si>
  <si>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</si>
  <si>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</si>
  <si>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</si>
  <si>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</si>
  <si>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</si>
  <si>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</si>
  <si>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</si>
  <si>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</si>
  <si>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</si>
  <si>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</si>
  <si>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</si>
  <si>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</si>
  <si>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</si>
  <si>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</si>
  <si>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</si>
  <si>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</si>
  <si>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</si>
  <si>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</si>
  <si>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</si>
  <si>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</si>
  <si>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</si>
  <si>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</si>
  <si>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</si>
  <si>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</si>
  <si>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</si>
  <si>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</si>
  <si>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</si>
  <si>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</si>
  <si>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</si>
  <si>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</si>
  <si>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</si>
  <si>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</si>
  <si>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</si>
  <si>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</si>
  <si>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</si>
  <si>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</si>
  <si>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</si>
  <si>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</si>
  <si>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</si>
  <si>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</si>
  <si>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</si>
  <si>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</si>
  <si>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</si>
  <si>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</si>
  <si>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</si>
  <si>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</si>
  <si>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</si>
  <si>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</si>
  <si>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</si>
  <si>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</si>
  <si>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</si>
  <si>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</si>
  <si>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</si>
  <si>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</si>
  <si>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</si>
  <si>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</si>
  <si>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</si>
  <si>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</si>
  <si>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</si>
  <si>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</si>
  <si>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</si>
  <si>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</si>
  <si>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</si>
  <si>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</si>
  <si>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</si>
  <si>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</si>
  <si>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</si>
  <si>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</si>
  <si>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</si>
  <si>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</si>
  <si>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</si>
  <si>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</si>
  <si>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</si>
  <si>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</si>
  <si>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</si>
  <si>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</si>
  <si>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</si>
  <si>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</si>
  <si>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</si>
  <si>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</si>
  <si>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</si>
  <si>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</si>
  <si>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</si>
  <si>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</si>
  <si>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</si>
  <si>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</si>
  <si>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</si>
  <si>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</si>
  <si>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</si>
  <si>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</si>
  <si>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</si>
  <si>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</si>
  <si>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</si>
  <si>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</si>
  <si>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</si>
  <si>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</si>
  <si>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</si>
  <si>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</si>
  <si>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</si>
  <si>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</si>
  <si>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</si>
  <si>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</si>
  <si>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</si>
  <si>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</si>
  <si>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</si>
  <si>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</si>
  <si>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</si>
  <si>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</si>
  <si>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</si>
  <si>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</si>
  <si>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</si>
  <si>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</si>
  <si>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</si>
  <si>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</si>
  <si>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</si>
  <si>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</si>
  <si>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</si>
  <si>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</si>
  <si>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</si>
  <si>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</si>
  <si>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</si>
  <si>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</si>
  <si>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</si>
  <si>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</si>
  <si>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</si>
  <si>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</si>
  <si>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</si>
  <si>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</si>
  <si>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</si>
  <si>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</si>
  <si>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</si>
  <si>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</si>
  <si>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</si>
  <si>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</si>
  <si>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</si>
  <si>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</si>
  <si>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</si>
  <si>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</si>
  <si>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</si>
  <si>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</si>
  <si>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</si>
  <si>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</si>
  <si>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</si>
  <si>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</si>
  <si>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</si>
  <si>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</si>
  <si>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</si>
  <si>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</si>
  <si>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</si>
  <si>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</si>
  <si>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</si>
  <si>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</si>
  <si>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</si>
  <si>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</si>
  <si>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</si>
  <si>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</si>
  <si>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</si>
  <si>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</si>
  <si>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</si>
  <si>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</si>
  <si>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</si>
  <si>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</si>
  <si>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</si>
  <si>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</si>
  <si>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</si>
  <si>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</si>
  <si>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</si>
  <si>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</si>
  <si>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</si>
  <si>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</si>
  <si>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</si>
  <si>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</si>
  <si>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</si>
  <si>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</si>
  <si>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</si>
  <si>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</si>
  <si>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</si>
  <si>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</si>
  <si>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</si>
  <si>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</si>
  <si>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</si>
  <si>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</si>
  <si>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</si>
  <si>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</si>
  <si>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</si>
  <si>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</si>
  <si>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</si>
  <si>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</si>
  <si>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</si>
  <si>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</si>
  <si>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</si>
  <si>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</si>
  <si>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</si>
  <si>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</si>
  <si>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</si>
  <si>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</si>
  <si>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</si>
  <si>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</si>
  <si>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</si>
  <si>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</si>
  <si>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</si>
  <si>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</si>
  <si>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</si>
  <si>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</si>
  <si>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</si>
  <si>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</si>
  <si>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</si>
  <si>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</si>
  <si>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</si>
  <si>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</si>
  <si>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</si>
  <si>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</si>
  <si>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</si>
  <si>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</si>
  <si>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</si>
  <si>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</si>
  <si>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</si>
  <si>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</si>
  <si>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</si>
  <si>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</si>
  <si>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</si>
  <si>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</si>
  <si>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</si>
  <si>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</si>
  <si>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</si>
  <si>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</si>
  <si>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</si>
  <si>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</si>
  <si>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</si>
  <si>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</si>
  <si>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</si>
  <si>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</si>
  <si>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</si>
  <si>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</si>
  <si>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</si>
  <si>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</si>
  <si>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</si>
  <si>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</si>
  <si>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</si>
  <si>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</si>
  <si>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</si>
  <si>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</si>
  <si>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</si>
  <si>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</si>
  <si>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</si>
  <si>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</si>
  <si>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</si>
  <si>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</si>
  <si>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</si>
  <si>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</si>
  <si>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</si>
  <si>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</si>
  <si>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</si>
  <si>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</si>
  <si>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</si>
  <si>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</si>
  <si>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</si>
  <si>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</si>
  <si>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</si>
  <si>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</si>
  <si>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</si>
  <si>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</si>
  <si>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</si>
  <si>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</si>
  <si>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</si>
  <si>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</si>
  <si>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</si>
  <si>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</si>
  <si>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</si>
  <si>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</si>
  <si>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</si>
  <si>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</si>
  <si>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</si>
  <si>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</si>
  <si>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</si>
  <si>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</si>
  <si>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</si>
  <si>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</si>
  <si>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</si>
  <si>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</si>
  <si>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</si>
  <si>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</si>
  <si>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</si>
  <si>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</si>
  <si>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</si>
  <si>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</si>
  <si>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</si>
  <si>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</si>
  <si>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</si>
  <si>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</si>
  <si>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</si>
  <si>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</si>
  <si>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</si>
  <si>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</si>
  <si>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</si>
  <si>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</si>
  <si>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</si>
  <si>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</si>
  <si>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</si>
  <si>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</si>
  <si>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</si>
  <si>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</si>
  <si>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</si>
  <si>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GF</t>
  </si>
  <si>
    <t>GA</t>
  </si>
  <si>
    <t>Place</t>
  </si>
  <si>
    <t>Delta</t>
  </si>
  <si>
    <t>Pnt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</si>
  <si>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</si>
  <si>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</si>
  <si>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</si>
  <si>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</si>
  <si>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</si>
  <si>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</si>
  <si>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</si>
  <si>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</si>
  <si>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</si>
  <si>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</si>
  <si>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</si>
  <si>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</si>
  <si>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</si>
  <si>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</si>
  <si>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</si>
  <si>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</si>
  <si>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</si>
  <si>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</si>
  <si>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</si>
  <si>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</si>
  <si>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</si>
  <si>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</si>
  <si>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</si>
  <si>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</si>
  <si>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</si>
  <si>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</si>
  <si>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</si>
  <si>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</si>
  <si>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</si>
  <si>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</si>
  <si>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</si>
  <si>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</si>
  <si>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</si>
  <si>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</si>
  <si>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</si>
  <si>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</si>
  <si>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</si>
  <si>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</si>
  <si>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</si>
  <si>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</si>
  <si>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</si>
  <si>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</si>
  <si>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</si>
  <si>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</si>
  <si>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</si>
  <si>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</si>
  <si>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</si>
  <si>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</si>
  <si>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</si>
  <si>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</si>
  <si>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</si>
  <si>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</si>
  <si>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</si>
  <si>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</si>
  <si>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</si>
  <si>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</si>
  <si>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</si>
  <si>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</si>
  <si>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</si>
  <si>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</si>
  <si>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</si>
  <si>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</si>
  <si>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</si>
  <si>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</si>
  <si>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</si>
  <si>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</si>
  <si>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</si>
  <si>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</si>
  <si>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</si>
  <si>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</si>
  <si>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</si>
  <si>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</si>
  <si>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</si>
  <si>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</si>
  <si>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</si>
  <si>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</si>
  <si>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</si>
  <si>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</si>
  <si>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</si>
  <si>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</si>
  <si>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</si>
  <si>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</si>
  <si>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</si>
  <si>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</si>
  <si>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</si>
  <si>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</si>
  <si>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</si>
  <si>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</si>
  <si>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</si>
  <si>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</si>
  <si>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</si>
  <si>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</si>
  <si>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</si>
  <si>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</si>
  <si>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</si>
  <si>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</si>
  <si>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</si>
  <si>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</si>
  <si>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</si>
  <si>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</si>
  <si>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</si>
  <si>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</si>
  <si>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</si>
  <si>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</si>
  <si>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</si>
  <si>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</si>
  <si>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</si>
  <si>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</si>
  <si>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</si>
  <si>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</si>
  <si>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</si>
  <si>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</si>
  <si>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</si>
  <si>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</si>
  <si>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</si>
  <si>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</si>
  <si>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</si>
  <si>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</si>
  <si>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</si>
  <si>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</si>
  <si>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</si>
  <si>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</si>
  <si>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</si>
  <si>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</si>
  <si>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</si>
  <si>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</si>
  <si>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</si>
  <si>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</si>
  <si>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</si>
  <si>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</si>
  <si>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</si>
  <si>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</si>
  <si>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</si>
  <si>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</si>
  <si>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</si>
  <si>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</si>
  <si>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</si>
  <si>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</si>
  <si>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</si>
  <si>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</si>
  <si>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</si>
  <si>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</si>
  <si>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</si>
  <si>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</si>
  <si>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</si>
  <si>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</si>
  <si>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</si>
  <si>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</si>
  <si>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</si>
  <si>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</si>
  <si>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</si>
  <si>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</si>
  <si>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</si>
  <si>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</si>
  <si>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</si>
  <si>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</si>
  <si>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</si>
  <si>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</si>
  <si>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</si>
  <si>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</si>
  <si>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</si>
  <si>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</si>
  <si>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</si>
  <si>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</si>
  <si>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</si>
  <si>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</si>
  <si>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</si>
  <si>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</si>
  <si>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</si>
  <si>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</si>
  <si>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</si>
  <si>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</si>
  <si>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</si>
  <si>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</si>
  <si>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</si>
  <si>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</si>
  <si>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</si>
  <si>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</si>
  <si>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</si>
  <si>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</si>
  <si>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</si>
  <si>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</si>
  <si>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</si>
  <si>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</si>
  <si>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</si>
  <si>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</si>
  <si>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</si>
  <si>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</si>
  <si>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</si>
  <si>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</si>
  <si>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</si>
  <si>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</si>
  <si>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</si>
  <si>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</si>
  <si>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</si>
  <si>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</si>
  <si>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</si>
  <si>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</si>
  <si>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</si>
  <si>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</si>
  <si>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</si>
  <si>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</si>
  <si>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</si>
  <si>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</si>
  <si>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</si>
  <si>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</si>
  <si>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</si>
  <si>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</si>
  <si>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</si>
  <si>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</si>
  <si>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</si>
  <si>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</si>
  <si>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</si>
  <si>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</si>
  <si>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</si>
  <si>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</si>
  <si>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</si>
  <si>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</si>
  <si>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</si>
  <si>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</si>
  <si>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</si>
  <si>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</si>
  <si>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</si>
  <si>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</si>
  <si>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</si>
  <si>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</si>
  <si>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</si>
  <si>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</si>
  <si>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</si>
  <si>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</si>
  <si>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</si>
  <si>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</si>
  <si>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</si>
  <si>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</si>
  <si>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</si>
  <si>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</si>
  <si>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</si>
  <si>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</si>
  <si>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</si>
  <si>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</si>
  <si>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</si>
  <si>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</si>
  <si>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</si>
  <si>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</si>
  <si>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</si>
  <si>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</si>
  <si>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</si>
  <si>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</si>
  <si>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</si>
  <si>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</si>
  <si>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</si>
  <si>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</si>
  <si>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</si>
  <si>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</si>
  <si>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</si>
  <si>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</si>
  <si>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</si>
  <si>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</si>
  <si>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</si>
  <si>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</si>
  <si>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</si>
  <si>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</si>
  <si>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</si>
  <si>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</si>
  <si>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</si>
  <si>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</si>
  <si>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</si>
  <si>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</si>
  <si>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</si>
  <si>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</si>
  <si>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</si>
  <si>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</si>
  <si>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</si>
  <si>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</si>
  <si>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</si>
  <si>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</si>
  <si>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</si>
  <si>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</si>
  <si>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</si>
  <si>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</si>
  <si>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</si>
  <si>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</si>
  <si>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</si>
  <si>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</si>
  <si>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</si>
  <si>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</si>
  <si>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</si>
  <si>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</si>
  <si>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</si>
  <si>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</si>
  <si>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</si>
  <si>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</si>
  <si>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</si>
  <si>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</si>
  <si>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</si>
  <si>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</si>
  <si>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</si>
  <si>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</si>
  <si>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</si>
  <si>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</si>
  <si>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</si>
  <si>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</si>
  <si>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</si>
  <si>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</si>
  <si>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</si>
  <si>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</si>
  <si>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</si>
  <si>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</si>
  <si>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</si>
  <si>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</si>
  <si>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</si>
  <si>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</si>
  <si>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</si>
  <si>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</si>
  <si>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</si>
  <si>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</si>
  <si>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</si>
  <si>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</si>
  <si>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</si>
  <si>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</si>
  <si>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</si>
  <si>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</si>
  <si>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</si>
  <si>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</si>
  <si>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</si>
  <si>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</si>
  <si>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</si>
  <si>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</si>
  <si>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</si>
  <si>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</si>
  <si>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</si>
  <si>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</si>
  <si>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</si>
  <si>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</si>
  <si>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</si>
  <si>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</si>
  <si>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</si>
  <si>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</si>
  <si>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</si>
  <si>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</si>
  <si>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</si>
  <si>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</si>
  <si>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</si>
  <si>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</si>
  <si>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</si>
  <si>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</si>
  <si>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</si>
  <si>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</si>
  <si>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</si>
  <si>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</si>
  <si>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</si>
  <si>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</si>
  <si>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</si>
  <si>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</si>
  <si>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</si>
  <si>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</si>
  <si>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</si>
  <si>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</si>
  <si>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</si>
  <si>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</si>
  <si>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</si>
  <si>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</si>
  <si>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</si>
  <si>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</si>
  <si>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</si>
  <si>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</si>
  <si>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</si>
  <si>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</si>
  <si>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</si>
  <si>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</si>
  <si>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</si>
  <si>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Copa Mundial de Fútbol - 2018</t>
  </si>
  <si>
    <t>2018 Mistrzostwa Świata Terminarz Meczów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</si>
  <si>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</si>
  <si>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</si>
  <si>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</si>
  <si>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</si>
  <si>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</si>
  <si>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</si>
  <si>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</si>
  <si>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</si>
  <si>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</si>
  <si>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</si>
  <si>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</si>
  <si>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</si>
  <si>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</si>
  <si>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</si>
  <si>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</si>
  <si>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</si>
  <si>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</si>
  <si>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</si>
  <si>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</si>
  <si>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</si>
  <si>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</si>
  <si>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</si>
  <si>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</si>
  <si>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</si>
  <si>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</si>
  <si>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</si>
  <si>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</si>
  <si>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República da Coreia</t>
  </si>
  <si>
    <t>Fair play</t>
  </si>
  <si>
    <t>Fair Play</t>
  </si>
  <si>
    <t>Straight</t>
  </si>
  <si>
    <t>Red</t>
  </si>
  <si>
    <t>Yellow</t>
  </si>
  <si>
    <t>Order</t>
  </si>
  <si>
    <t>Red (2</t>
  </si>
  <si>
    <t>yellows)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</si>
</sst>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1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5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8" fillId="0" borderId="0" xfId="0" applyNumberFormat="1" applyFont="1" applyProtection="1">
      <protection hidden="1"/>
    </xf>
    <xf numFmtId="0" fontId="17" fillId="8" borderId="0" xfId="0" applyFont="1" applyFill="1" applyBorder="1" applyAlignment="1" applyProtection="1">
      <alignment horizontal="center"/>
      <protection hidden="1"/>
    </xf>
    <xf numFmtId="0" fontId="1" fillId="7" borderId="75" xfId="2" applyFont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8" borderId="0" xfId="0" quotePrefix="1" applyFont="1" applyFill="1" applyBorder="1" applyAlignment="1" applyProtection="1">
      <alignment horizontal="center"/>
      <protection hidden="1"/>
    </xf>
    <xf numFmtId="0" fontId="19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1" xfId="0" applyFont="1" applyFill="1" applyBorder="1" applyAlignment="1" applyProtection="1">
      <alignment horizontal="center" vertical="center"/>
      <protection locked="0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0" fontId="1" fillId="7" borderId="73" xfId="2" applyFont="1" applyBorder="1" applyAlignment="1" applyProtection="1">
      <alignment horizontal="center"/>
      <protection locked="0"/>
    </xf>
    <xf numFmtId="0" fontId="1" fillId="7" borderId="74" xfId="2" applyFont="1" applyBorder="1" applyAlignment="1" applyProtection="1">
      <alignment horizontal="center"/>
      <protection locked="0"/>
    </xf>
    <xf numFmtId="14" fontId="0" fillId="0" borderId="0" xfId="0" applyNumberFormat="1" applyProtection="1"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165" fontId="10" fillId="0" borderId="0" xfId="0" applyNumberFormat="1" applyFont="1" applyProtection="1"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A1:XFD1048576"/>
    </sheetView>
  </sheetViews>
  <sheetFormatPr defaultColWidth="14" defaultRowHeight="15" x14ac:dyDescent="0.25"/>
  <cols>
    <col min="1" max="1" width="14" style="2"/>
  </cols>
  <sheetData>
    <row r="1" spans="1:4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2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2551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2573</v>
      </c>
      <c r="AA2" t="s">
        <v>2097</v>
      </c>
      <c r="AB2" t="s">
        <v>2098</v>
      </c>
      <c r="AC2" t="s">
        <v>2099</v>
      </c>
      <c r="AD2" t="s">
        <v>2549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2548</v>
      </c>
      <c r="AL2" t="s">
        <v>2106</v>
      </c>
      <c r="AM2" t="s">
        <v>2107</v>
      </c>
      <c r="AN2" t="s">
        <v>2108</v>
      </c>
      <c r="AO2" t="s">
        <v>2109</v>
      </c>
      <c r="AP2" s="1" t="s">
        <v>2110</v>
      </c>
      <c r="AQ2" t="s">
        <v>43</v>
      </c>
      <c r="AR2" t="s">
        <v>2111</v>
      </c>
    </row>
    <row r="3" spans="1:44" x14ac:dyDescent="0.25">
      <c r="A3" s="2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2552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2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2553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2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2554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2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2555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2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2556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2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2557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2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2558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2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2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2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2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2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2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2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2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2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2559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2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2560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2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2561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2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2562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2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2563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2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2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2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2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2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2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2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2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2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2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2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2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2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2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2299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2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2302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2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2" t="s">
        <v>1120</v>
      </c>
      <c r="B41" t="s">
        <v>1121</v>
      </c>
      <c r="C41" t="s">
        <v>1122</v>
      </c>
      <c r="D41" t="s">
        <v>2254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2564</v>
      </c>
      <c r="O41" t="s">
        <v>1120</v>
      </c>
      <c r="P41" t="s">
        <v>2303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2300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2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2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2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2565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2574</v>
      </c>
      <c r="AA44" t="s">
        <v>1218</v>
      </c>
      <c r="AB44" t="s">
        <v>1219</v>
      </c>
      <c r="AC44" t="s">
        <v>1220</v>
      </c>
      <c r="AD44" t="s">
        <v>1221</v>
      </c>
      <c r="AE44" t="s">
        <v>2577</v>
      </c>
      <c r="AF44" t="s">
        <v>1222</v>
      </c>
      <c r="AG44" t="s">
        <v>1223</v>
      </c>
      <c r="AH44" t="s">
        <v>1224</v>
      </c>
      <c r="AI44" t="s">
        <v>2301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2" t="s">
        <v>2168</v>
      </c>
      <c r="B45" t="s">
        <v>2220</v>
      </c>
      <c r="C45" t="s">
        <v>2221</v>
      </c>
      <c r="D45" t="s">
        <v>2253</v>
      </c>
      <c r="E45" t="s">
        <v>2222</v>
      </c>
      <c r="F45" t="s">
        <v>2223</v>
      </c>
      <c r="G45" t="s">
        <v>2224</v>
      </c>
      <c r="H45" t="s">
        <v>2225</v>
      </c>
      <c r="I45" t="s">
        <v>2226</v>
      </c>
      <c r="J45" t="s">
        <v>2227</v>
      </c>
      <c r="K45" t="s">
        <v>2228</v>
      </c>
      <c r="L45" t="s">
        <v>2229</v>
      </c>
      <c r="M45" t="s">
        <v>2229</v>
      </c>
      <c r="N45" t="s">
        <v>2576</v>
      </c>
      <c r="O45" t="s">
        <v>2230</v>
      </c>
      <c r="P45" t="s">
        <v>2231</v>
      </c>
      <c r="Q45" t="s">
        <v>2229</v>
      </c>
      <c r="R45" t="s">
        <v>2232</v>
      </c>
      <c r="S45" t="s">
        <v>2233</v>
      </c>
      <c r="T45" t="s">
        <v>2234</v>
      </c>
      <c r="U45" t="s">
        <v>2235</v>
      </c>
      <c r="V45" t="s">
        <v>2168</v>
      </c>
      <c r="W45" t="s">
        <v>2236</v>
      </c>
      <c r="X45" t="s">
        <v>2237</v>
      </c>
      <c r="Y45" t="s">
        <v>2238</v>
      </c>
      <c r="Z45" t="s">
        <v>2239</v>
      </c>
      <c r="AA45" t="s">
        <v>2240</v>
      </c>
      <c r="AB45" t="s">
        <v>2229</v>
      </c>
      <c r="AC45" t="s">
        <v>2241</v>
      </c>
      <c r="AD45" t="s">
        <v>2242</v>
      </c>
      <c r="AE45" t="s">
        <v>2243</v>
      </c>
      <c r="AF45" t="s">
        <v>2236</v>
      </c>
      <c r="AG45" t="s">
        <v>2244</v>
      </c>
      <c r="AH45" t="s">
        <v>2245</v>
      </c>
      <c r="AI45" t="s">
        <v>2246</v>
      </c>
      <c r="AJ45" t="s">
        <v>2227</v>
      </c>
      <c r="AK45" t="s">
        <v>2236</v>
      </c>
      <c r="AL45" t="s">
        <v>2247</v>
      </c>
      <c r="AM45" t="s">
        <v>2248</v>
      </c>
      <c r="AN45" t="s">
        <v>2249</v>
      </c>
      <c r="AO45" t="s">
        <v>2250</v>
      </c>
      <c r="AP45" t="s">
        <v>2251</v>
      </c>
      <c r="AQ45" t="s">
        <v>2252</v>
      </c>
      <c r="AR45" t="s">
        <v>2244</v>
      </c>
    </row>
    <row r="46" spans="1:44" x14ac:dyDescent="0.25">
      <c r="A46" s="2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2304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2" t="s">
        <v>2164</v>
      </c>
      <c r="B47" t="s">
        <v>2164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2263</v>
      </c>
      <c r="L47" t="s">
        <v>2264</v>
      </c>
      <c r="M47" t="s">
        <v>2265</v>
      </c>
      <c r="N47" t="s">
        <v>2164</v>
      </c>
      <c r="O47" t="s">
        <v>2266</v>
      </c>
      <c r="P47" t="s">
        <v>2267</v>
      </c>
      <c r="Q47" t="s">
        <v>2264</v>
      </c>
      <c r="R47" t="s">
        <v>2268</v>
      </c>
      <c r="S47" t="s">
        <v>2269</v>
      </c>
      <c r="T47" t="s">
        <v>2270</v>
      </c>
      <c r="U47" t="s">
        <v>2164</v>
      </c>
      <c r="V47" t="s">
        <v>2271</v>
      </c>
      <c r="W47" t="s">
        <v>2164</v>
      </c>
      <c r="X47" t="s">
        <v>2272</v>
      </c>
      <c r="Y47" t="s">
        <v>2273</v>
      </c>
      <c r="Z47" t="s">
        <v>2274</v>
      </c>
      <c r="AA47" t="s">
        <v>2275</v>
      </c>
      <c r="AB47" t="s">
        <v>2164</v>
      </c>
      <c r="AC47" t="s">
        <v>2276</v>
      </c>
      <c r="AD47" t="s">
        <v>2164</v>
      </c>
      <c r="AE47" t="s">
        <v>2277</v>
      </c>
      <c r="AF47" t="s">
        <v>2164</v>
      </c>
      <c r="AG47" t="s">
        <v>2278</v>
      </c>
      <c r="AH47" t="s">
        <v>2274</v>
      </c>
      <c r="AI47" t="s">
        <v>2263</v>
      </c>
      <c r="AJ47" t="s">
        <v>2262</v>
      </c>
      <c r="AK47" t="s">
        <v>2164</v>
      </c>
      <c r="AL47" t="s">
        <v>2264</v>
      </c>
      <c r="AM47" t="s">
        <v>2279</v>
      </c>
      <c r="AN47" t="s">
        <v>2280</v>
      </c>
      <c r="AO47" t="s">
        <v>2164</v>
      </c>
      <c r="AP47" t="s">
        <v>2281</v>
      </c>
      <c r="AQ47" t="s">
        <v>2282</v>
      </c>
      <c r="AR47" t="s">
        <v>2278</v>
      </c>
    </row>
    <row r="48" spans="1:44" x14ac:dyDescent="0.25">
      <c r="A48" s="2" t="s">
        <v>2161</v>
      </c>
      <c r="B48" t="s">
        <v>2161</v>
      </c>
      <c r="C48" t="s">
        <v>2283</v>
      </c>
      <c r="D48" t="s">
        <v>2284</v>
      </c>
      <c r="E48" t="s">
        <v>2161</v>
      </c>
      <c r="F48" t="s">
        <v>2285</v>
      </c>
      <c r="G48" t="s">
        <v>2286</v>
      </c>
      <c r="H48" t="s">
        <v>2287</v>
      </c>
      <c r="I48" t="s">
        <v>2288</v>
      </c>
      <c r="J48" t="s">
        <v>2161</v>
      </c>
      <c r="K48" t="s">
        <v>2161</v>
      </c>
      <c r="L48" t="s">
        <v>2161</v>
      </c>
      <c r="M48" t="s">
        <v>2161</v>
      </c>
      <c r="N48" t="s">
        <v>2161</v>
      </c>
      <c r="O48" t="s">
        <v>2289</v>
      </c>
      <c r="P48" t="s">
        <v>2305</v>
      </c>
      <c r="Q48" t="s">
        <v>2161</v>
      </c>
      <c r="R48" t="s">
        <v>2290</v>
      </c>
      <c r="S48" t="s">
        <v>2291</v>
      </c>
      <c r="T48" t="s">
        <v>2161</v>
      </c>
      <c r="U48" t="s">
        <v>2161</v>
      </c>
      <c r="V48" t="s">
        <v>2161</v>
      </c>
      <c r="W48" t="s">
        <v>2293</v>
      </c>
      <c r="X48" t="s">
        <v>2294</v>
      </c>
      <c r="Y48" t="s">
        <v>2161</v>
      </c>
      <c r="Z48" t="s">
        <v>2285</v>
      </c>
      <c r="AA48" t="s">
        <v>2293</v>
      </c>
      <c r="AB48" t="s">
        <v>2161</v>
      </c>
      <c r="AC48" t="s">
        <v>2295</v>
      </c>
      <c r="AD48" t="s">
        <v>2161</v>
      </c>
      <c r="AE48" t="s">
        <v>2161</v>
      </c>
      <c r="AF48" t="s">
        <v>2161</v>
      </c>
      <c r="AG48" t="s">
        <v>2285</v>
      </c>
      <c r="AH48" t="s">
        <v>2285</v>
      </c>
      <c r="AI48" t="s">
        <v>2161</v>
      </c>
      <c r="AJ48" t="s">
        <v>2161</v>
      </c>
      <c r="AK48" t="s">
        <v>2286</v>
      </c>
      <c r="AL48" t="s">
        <v>2292</v>
      </c>
      <c r="AM48" t="s">
        <v>2296</v>
      </c>
      <c r="AN48" t="s">
        <v>2161</v>
      </c>
      <c r="AO48" t="s">
        <v>2161</v>
      </c>
      <c r="AP48" t="s">
        <v>2285</v>
      </c>
      <c r="AQ48" t="s">
        <v>2297</v>
      </c>
      <c r="AR48" t="s">
        <v>2285</v>
      </c>
    </row>
    <row r="49" spans="1:44" x14ac:dyDescent="0.25">
      <c r="A49" s="2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2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2566</v>
      </c>
      <c r="O50" t="s">
        <v>1306</v>
      </c>
      <c r="P50" t="s">
        <v>2306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2575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2298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2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2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2307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2" t="s">
        <v>2162</v>
      </c>
      <c r="B53" t="s">
        <v>2308</v>
      </c>
      <c r="C53" t="s">
        <v>2309</v>
      </c>
      <c r="D53" t="s">
        <v>2310</v>
      </c>
      <c r="E53" t="s">
        <v>2311</v>
      </c>
      <c r="F53" t="s">
        <v>2312</v>
      </c>
      <c r="G53" t="s">
        <v>2313</v>
      </c>
      <c r="H53" t="s">
        <v>2314</v>
      </c>
      <c r="I53" t="s">
        <v>2315</v>
      </c>
      <c r="J53" t="s">
        <v>2316</v>
      </c>
      <c r="K53" t="s">
        <v>2317</v>
      </c>
      <c r="L53" t="s">
        <v>2318</v>
      </c>
      <c r="M53" t="s">
        <v>2319</v>
      </c>
      <c r="N53" t="s">
        <v>2318</v>
      </c>
      <c r="O53" t="s">
        <v>2320</v>
      </c>
      <c r="P53" t="s">
        <v>2321</v>
      </c>
      <c r="Q53" t="s">
        <v>2322</v>
      </c>
      <c r="R53" t="s">
        <v>2323</v>
      </c>
      <c r="S53" t="s">
        <v>2324</v>
      </c>
      <c r="T53" t="s">
        <v>2325</v>
      </c>
      <c r="U53" t="s">
        <v>2162</v>
      </c>
      <c r="V53" t="s">
        <v>2162</v>
      </c>
      <c r="W53" t="s">
        <v>2326</v>
      </c>
      <c r="X53" t="s">
        <v>2327</v>
      </c>
      <c r="Y53" t="s">
        <v>2328</v>
      </c>
      <c r="Z53" t="s">
        <v>2329</v>
      </c>
      <c r="AA53" t="s">
        <v>2311</v>
      </c>
      <c r="AB53" t="s">
        <v>2318</v>
      </c>
      <c r="AC53" t="s">
        <v>2330</v>
      </c>
      <c r="AD53" t="s">
        <v>2331</v>
      </c>
      <c r="AE53" t="s">
        <v>2313</v>
      </c>
      <c r="AF53" t="s">
        <v>2332</v>
      </c>
      <c r="AG53" t="s">
        <v>2312</v>
      </c>
      <c r="AH53" t="s">
        <v>2329</v>
      </c>
      <c r="AI53" t="s">
        <v>2317</v>
      </c>
      <c r="AJ53" t="s">
        <v>2316</v>
      </c>
      <c r="AK53" t="s">
        <v>2313</v>
      </c>
      <c r="AL53" t="s">
        <v>2318</v>
      </c>
      <c r="AM53" t="s">
        <v>2333</v>
      </c>
      <c r="AN53" t="s">
        <v>2311</v>
      </c>
      <c r="AO53" t="s">
        <v>2334</v>
      </c>
      <c r="AP53" t="s">
        <v>2335</v>
      </c>
      <c r="AQ53" t="s">
        <v>2336</v>
      </c>
      <c r="AR53" t="s">
        <v>2312</v>
      </c>
    </row>
    <row r="54" spans="1:44" x14ac:dyDescent="0.25">
      <c r="A54" s="2" t="s">
        <v>2165</v>
      </c>
      <c r="B54" t="s">
        <v>2337</v>
      </c>
      <c r="C54" t="s">
        <v>2338</v>
      </c>
      <c r="D54" t="s">
        <v>2339</v>
      </c>
      <c r="E54" t="s">
        <v>2340</v>
      </c>
      <c r="F54" t="s">
        <v>2341</v>
      </c>
      <c r="G54" t="s">
        <v>2342</v>
      </c>
      <c r="H54" t="s">
        <v>2343</v>
      </c>
      <c r="I54" t="s">
        <v>2343</v>
      </c>
      <c r="J54" t="s">
        <v>2344</v>
      </c>
      <c r="K54" t="s">
        <v>2345</v>
      </c>
      <c r="L54" t="s">
        <v>2346</v>
      </c>
      <c r="M54" t="s">
        <v>2347</v>
      </c>
      <c r="N54" t="s">
        <v>2567</v>
      </c>
      <c r="O54" t="s">
        <v>2348</v>
      </c>
      <c r="P54" t="s">
        <v>2349</v>
      </c>
      <c r="Q54" t="s">
        <v>2350</v>
      </c>
      <c r="R54" t="s">
        <v>2351</v>
      </c>
      <c r="S54" t="s">
        <v>2352</v>
      </c>
      <c r="T54" t="s">
        <v>2353</v>
      </c>
      <c r="U54" t="s">
        <v>2354</v>
      </c>
      <c r="V54" t="s">
        <v>2355</v>
      </c>
      <c r="W54" t="s">
        <v>2356</v>
      </c>
      <c r="X54" t="s">
        <v>2357</v>
      </c>
      <c r="Y54" t="s">
        <v>2358</v>
      </c>
      <c r="Z54" t="s">
        <v>2359</v>
      </c>
      <c r="AA54" t="s">
        <v>2471</v>
      </c>
      <c r="AB54" t="s">
        <v>2346</v>
      </c>
      <c r="AC54" t="s">
        <v>2360</v>
      </c>
      <c r="AD54" t="s">
        <v>2361</v>
      </c>
      <c r="AE54" t="s">
        <v>2362</v>
      </c>
      <c r="AF54" t="s">
        <v>2363</v>
      </c>
      <c r="AG54" t="s">
        <v>2341</v>
      </c>
      <c r="AH54" t="s">
        <v>2359</v>
      </c>
      <c r="AI54" t="s">
        <v>2345</v>
      </c>
      <c r="AJ54" t="s">
        <v>2344</v>
      </c>
      <c r="AK54" t="s">
        <v>2364</v>
      </c>
      <c r="AL54" t="s">
        <v>2346</v>
      </c>
      <c r="AM54" t="s">
        <v>2365</v>
      </c>
      <c r="AN54" t="s">
        <v>2340</v>
      </c>
      <c r="AO54" t="s">
        <v>2366</v>
      </c>
      <c r="AP54" t="s">
        <v>2367</v>
      </c>
      <c r="AQ54" t="s">
        <v>2368</v>
      </c>
      <c r="AR54" t="s">
        <v>2341</v>
      </c>
    </row>
    <row r="55" spans="1:44" x14ac:dyDescent="0.25">
      <c r="A55" s="2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2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2" t="s">
        <v>2163</v>
      </c>
      <c r="B57" t="s">
        <v>2369</v>
      </c>
      <c r="C57" t="s">
        <v>2370</v>
      </c>
      <c r="D57" t="s">
        <v>2371</v>
      </c>
      <c r="E57" t="s">
        <v>2372</v>
      </c>
      <c r="F57" t="s">
        <v>2373</v>
      </c>
      <c r="G57" t="s">
        <v>2374</v>
      </c>
      <c r="H57" t="s">
        <v>2375</v>
      </c>
      <c r="I57" t="s">
        <v>2376</v>
      </c>
      <c r="J57" t="s">
        <v>2377</v>
      </c>
      <c r="K57" t="s">
        <v>2377</v>
      </c>
      <c r="L57" t="s">
        <v>2377</v>
      </c>
      <c r="M57" t="s">
        <v>2378</v>
      </c>
      <c r="N57" t="s">
        <v>2568</v>
      </c>
      <c r="O57" t="s">
        <v>2379</v>
      </c>
      <c r="P57" t="s">
        <v>2380</v>
      </c>
      <c r="Q57" t="s">
        <v>2377</v>
      </c>
      <c r="R57" t="s">
        <v>2381</v>
      </c>
      <c r="S57" t="s">
        <v>2382</v>
      </c>
      <c r="T57" t="s">
        <v>2383</v>
      </c>
      <c r="U57" t="s">
        <v>2384</v>
      </c>
      <c r="V57" t="s">
        <v>2385</v>
      </c>
      <c r="W57" t="s">
        <v>2386</v>
      </c>
      <c r="X57" t="s">
        <v>2387</v>
      </c>
      <c r="Y57" t="s">
        <v>2388</v>
      </c>
      <c r="Z57" t="s">
        <v>2389</v>
      </c>
      <c r="AA57" t="s">
        <v>2386</v>
      </c>
      <c r="AB57" t="s">
        <v>2377</v>
      </c>
      <c r="AC57" t="s">
        <v>2390</v>
      </c>
      <c r="AD57" t="s">
        <v>2384</v>
      </c>
      <c r="AE57" t="s">
        <v>2391</v>
      </c>
      <c r="AF57" t="s">
        <v>2386</v>
      </c>
      <c r="AG57" t="s">
        <v>2373</v>
      </c>
      <c r="AH57" t="s">
        <v>2389</v>
      </c>
      <c r="AI57" t="s">
        <v>2377</v>
      </c>
      <c r="AJ57" t="s">
        <v>2388</v>
      </c>
      <c r="AK57" t="s">
        <v>2384</v>
      </c>
      <c r="AL57" t="s">
        <v>2377</v>
      </c>
      <c r="AM57" t="s">
        <v>2392</v>
      </c>
      <c r="AN57" t="s">
        <v>2393</v>
      </c>
      <c r="AO57" t="s">
        <v>2163</v>
      </c>
      <c r="AP57" t="s">
        <v>2394</v>
      </c>
      <c r="AQ57" t="s">
        <v>2395</v>
      </c>
      <c r="AR57" t="s">
        <v>2373</v>
      </c>
    </row>
    <row r="58" spans="1:44" x14ac:dyDescent="0.25">
      <c r="A58" s="2" t="s">
        <v>2169</v>
      </c>
      <c r="B58" t="s">
        <v>2169</v>
      </c>
      <c r="C58" t="s">
        <v>2396</v>
      </c>
      <c r="D58" t="s">
        <v>2397</v>
      </c>
      <c r="E58" t="s">
        <v>2398</v>
      </c>
      <c r="F58" t="s">
        <v>2399</v>
      </c>
      <c r="G58" t="s">
        <v>2169</v>
      </c>
      <c r="H58" t="s">
        <v>2400</v>
      </c>
      <c r="I58" t="s">
        <v>2401</v>
      </c>
      <c r="J58" t="s">
        <v>2169</v>
      </c>
      <c r="K58" t="s">
        <v>2169</v>
      </c>
      <c r="L58" t="s">
        <v>2169</v>
      </c>
      <c r="M58" t="s">
        <v>2169</v>
      </c>
      <c r="N58" t="s">
        <v>2169</v>
      </c>
      <c r="O58" t="s">
        <v>2402</v>
      </c>
      <c r="P58" t="s">
        <v>2403</v>
      </c>
      <c r="Q58" t="s">
        <v>2169</v>
      </c>
      <c r="R58" t="s">
        <v>2404</v>
      </c>
      <c r="S58" t="s">
        <v>2405</v>
      </c>
      <c r="T58" t="s">
        <v>2406</v>
      </c>
      <c r="U58" t="s">
        <v>2407</v>
      </c>
      <c r="V58" t="s">
        <v>2169</v>
      </c>
      <c r="W58" t="s">
        <v>2169</v>
      </c>
      <c r="X58" t="s">
        <v>2408</v>
      </c>
      <c r="Y58" t="s">
        <v>2409</v>
      </c>
      <c r="Z58" t="s">
        <v>2399</v>
      </c>
      <c r="AA58" t="s">
        <v>2407</v>
      </c>
      <c r="AB58" t="s">
        <v>2169</v>
      </c>
      <c r="AC58" t="s">
        <v>2410</v>
      </c>
      <c r="AD58" t="s">
        <v>2169</v>
      </c>
      <c r="AE58" t="s">
        <v>2169</v>
      </c>
      <c r="AF58" t="s">
        <v>2169</v>
      </c>
      <c r="AG58" t="s">
        <v>2399</v>
      </c>
      <c r="AH58" t="s">
        <v>2411</v>
      </c>
      <c r="AI58" t="s">
        <v>2169</v>
      </c>
      <c r="AJ58" t="s">
        <v>2169</v>
      </c>
      <c r="AK58" t="s">
        <v>2169</v>
      </c>
      <c r="AL58" t="s">
        <v>2169</v>
      </c>
      <c r="AM58" t="s">
        <v>2412</v>
      </c>
      <c r="AN58" t="s">
        <v>2169</v>
      </c>
      <c r="AO58" t="s">
        <v>2169</v>
      </c>
      <c r="AP58" t="s">
        <v>2399</v>
      </c>
      <c r="AQ58" t="s">
        <v>2413</v>
      </c>
      <c r="AR58" t="s">
        <v>2399</v>
      </c>
    </row>
    <row r="59" spans="1:44" x14ac:dyDescent="0.25">
      <c r="A59" s="2" t="s">
        <v>2167</v>
      </c>
      <c r="B59" t="s">
        <v>2414</v>
      </c>
      <c r="C59" t="s">
        <v>2415</v>
      </c>
      <c r="D59" t="s">
        <v>2416</v>
      </c>
      <c r="E59" t="s">
        <v>2417</v>
      </c>
      <c r="F59" t="s">
        <v>2418</v>
      </c>
      <c r="G59" t="s">
        <v>2419</v>
      </c>
      <c r="H59" t="s">
        <v>2420</v>
      </c>
      <c r="I59" t="s">
        <v>2420</v>
      </c>
      <c r="J59" t="s">
        <v>2417</v>
      </c>
      <c r="K59" t="s">
        <v>2421</v>
      </c>
      <c r="L59" t="s">
        <v>2422</v>
      </c>
      <c r="M59" t="s">
        <v>2423</v>
      </c>
      <c r="N59" t="s">
        <v>2569</v>
      </c>
      <c r="O59" t="s">
        <v>2424</v>
      </c>
      <c r="P59" t="s">
        <v>2425</v>
      </c>
      <c r="Q59" t="s">
        <v>2422</v>
      </c>
      <c r="R59" t="s">
        <v>2426</v>
      </c>
      <c r="S59" t="s">
        <v>2427</v>
      </c>
      <c r="T59" t="s">
        <v>2428</v>
      </c>
      <c r="U59" t="s">
        <v>2167</v>
      </c>
      <c r="V59" t="s">
        <v>2429</v>
      </c>
      <c r="W59" t="s">
        <v>2167</v>
      </c>
      <c r="X59" t="s">
        <v>2430</v>
      </c>
      <c r="Y59" t="s">
        <v>2431</v>
      </c>
      <c r="Z59" t="s">
        <v>2418</v>
      </c>
      <c r="AA59" t="s">
        <v>2432</v>
      </c>
      <c r="AB59" t="s">
        <v>2167</v>
      </c>
      <c r="AC59" t="s">
        <v>2415</v>
      </c>
      <c r="AD59" t="s">
        <v>2433</v>
      </c>
      <c r="AE59" t="s">
        <v>2419</v>
      </c>
      <c r="AF59" t="s">
        <v>2167</v>
      </c>
      <c r="AG59" t="s">
        <v>2418</v>
      </c>
      <c r="AH59" t="s">
        <v>2418</v>
      </c>
      <c r="AI59" t="s">
        <v>2421</v>
      </c>
      <c r="AJ59" t="s">
        <v>2434</v>
      </c>
      <c r="AK59" t="s">
        <v>2435</v>
      </c>
      <c r="AL59" t="s">
        <v>2469</v>
      </c>
      <c r="AM59" t="s">
        <v>2436</v>
      </c>
      <c r="AN59" t="s">
        <v>2437</v>
      </c>
      <c r="AO59" t="s">
        <v>2167</v>
      </c>
      <c r="AP59" t="s">
        <v>2438</v>
      </c>
      <c r="AQ59" t="s">
        <v>2439</v>
      </c>
      <c r="AR59" t="s">
        <v>2418</v>
      </c>
    </row>
    <row r="60" spans="1:44" x14ac:dyDescent="0.25">
      <c r="A60" s="2" t="s">
        <v>2159</v>
      </c>
      <c r="B60" t="s">
        <v>2440</v>
      </c>
      <c r="C60" t="s">
        <v>2441</v>
      </c>
      <c r="D60" t="s">
        <v>2442</v>
      </c>
      <c r="E60" t="s">
        <v>2443</v>
      </c>
      <c r="F60" t="s">
        <v>2444</v>
      </c>
      <c r="G60" t="s">
        <v>2445</v>
      </c>
      <c r="H60" t="s">
        <v>2446</v>
      </c>
      <c r="I60" t="s">
        <v>2446</v>
      </c>
      <c r="J60" t="s">
        <v>2447</v>
      </c>
      <c r="K60" t="s">
        <v>2159</v>
      </c>
      <c r="L60" t="s">
        <v>2448</v>
      </c>
      <c r="M60" t="s">
        <v>2449</v>
      </c>
      <c r="N60" t="s">
        <v>2456</v>
      </c>
      <c r="O60" t="s">
        <v>2449</v>
      </c>
      <c r="P60" t="s">
        <v>2450</v>
      </c>
      <c r="Q60" t="s">
        <v>2451</v>
      </c>
      <c r="R60" t="s">
        <v>2452</v>
      </c>
      <c r="S60" t="s">
        <v>2453</v>
      </c>
      <c r="T60" t="s">
        <v>2454</v>
      </c>
      <c r="U60" t="s">
        <v>2455</v>
      </c>
      <c r="V60" t="s">
        <v>2456</v>
      </c>
      <c r="W60" t="s">
        <v>2457</v>
      </c>
      <c r="X60" t="s">
        <v>2458</v>
      </c>
      <c r="Y60" t="s">
        <v>2459</v>
      </c>
      <c r="Z60" t="s">
        <v>2444</v>
      </c>
      <c r="AA60" t="s">
        <v>2460</v>
      </c>
      <c r="AB60" t="s">
        <v>2159</v>
      </c>
      <c r="AC60" t="s">
        <v>2441</v>
      </c>
      <c r="AD60" t="s">
        <v>2461</v>
      </c>
      <c r="AE60" t="s">
        <v>2462</v>
      </c>
      <c r="AF60" t="s">
        <v>2461</v>
      </c>
      <c r="AG60" t="s">
        <v>2444</v>
      </c>
      <c r="AH60" t="s">
        <v>2463</v>
      </c>
      <c r="AI60" t="s">
        <v>2159</v>
      </c>
      <c r="AJ60" t="s">
        <v>2461</v>
      </c>
      <c r="AK60" t="s">
        <v>2464</v>
      </c>
      <c r="AL60" t="s">
        <v>2448</v>
      </c>
      <c r="AM60" t="s">
        <v>2465</v>
      </c>
      <c r="AN60" t="s">
        <v>2466</v>
      </c>
      <c r="AO60" t="s">
        <v>2467</v>
      </c>
      <c r="AP60" t="s">
        <v>2468</v>
      </c>
      <c r="AQ60" t="s">
        <v>2441</v>
      </c>
      <c r="AR60" t="s">
        <v>2444</v>
      </c>
    </row>
    <row r="61" spans="1:44" x14ac:dyDescent="0.25">
      <c r="A61" s="2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2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2570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2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2470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2" t="s">
        <v>2160</v>
      </c>
      <c r="B64" t="s">
        <v>2472</v>
      </c>
      <c r="C64" t="s">
        <v>2473</v>
      </c>
      <c r="D64" t="s">
        <v>2474</v>
      </c>
      <c r="E64" t="s">
        <v>2496</v>
      </c>
      <c r="F64" t="s">
        <v>2475</v>
      </c>
      <c r="G64" t="s">
        <v>2476</v>
      </c>
      <c r="H64" t="s">
        <v>2477</v>
      </c>
      <c r="I64" t="s">
        <v>2477</v>
      </c>
      <c r="J64" t="s">
        <v>2478</v>
      </c>
      <c r="K64" t="s">
        <v>2478</v>
      </c>
      <c r="L64" t="s">
        <v>2479</v>
      </c>
      <c r="M64" t="s">
        <v>2479</v>
      </c>
      <c r="N64" t="s">
        <v>2479</v>
      </c>
      <c r="O64" t="s">
        <v>2480</v>
      </c>
      <c r="P64" t="s">
        <v>2481</v>
      </c>
      <c r="Q64" t="s">
        <v>2479</v>
      </c>
      <c r="R64" t="s">
        <v>2482</v>
      </c>
      <c r="S64" t="s">
        <v>2483</v>
      </c>
      <c r="T64" t="s">
        <v>2484</v>
      </c>
      <c r="U64" t="s">
        <v>2478</v>
      </c>
      <c r="V64" t="s">
        <v>2484</v>
      </c>
      <c r="W64" t="s">
        <v>2485</v>
      </c>
      <c r="X64" t="s">
        <v>2486</v>
      </c>
      <c r="Y64" t="s">
        <v>2487</v>
      </c>
      <c r="Z64" t="s">
        <v>2475</v>
      </c>
      <c r="AA64" t="s">
        <v>2488</v>
      </c>
      <c r="AB64" t="s">
        <v>2479</v>
      </c>
      <c r="AC64" t="s">
        <v>2489</v>
      </c>
      <c r="AD64" t="s">
        <v>2478</v>
      </c>
      <c r="AE64" t="s">
        <v>2490</v>
      </c>
      <c r="AF64" t="s">
        <v>2480</v>
      </c>
      <c r="AG64" t="s">
        <v>2491</v>
      </c>
      <c r="AH64" t="s">
        <v>2475</v>
      </c>
      <c r="AI64" t="s">
        <v>2478</v>
      </c>
      <c r="AJ64" t="s">
        <v>2478</v>
      </c>
      <c r="AK64" t="s">
        <v>2492</v>
      </c>
      <c r="AL64" t="s">
        <v>2493</v>
      </c>
      <c r="AM64" t="s">
        <v>2494</v>
      </c>
      <c r="AN64" t="s">
        <v>2495</v>
      </c>
      <c r="AO64" t="s">
        <v>2160</v>
      </c>
      <c r="AP64" t="s">
        <v>2491</v>
      </c>
      <c r="AQ64" t="s">
        <v>2489</v>
      </c>
      <c r="AR64" t="s">
        <v>2491</v>
      </c>
    </row>
    <row r="65" spans="1:44" x14ac:dyDescent="0.25">
      <c r="A65" s="2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2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2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2571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2" t="s">
        <v>2166</v>
      </c>
      <c r="B68" t="s">
        <v>2166</v>
      </c>
      <c r="C68" t="s">
        <v>2497</v>
      </c>
      <c r="D68" t="s">
        <v>2498</v>
      </c>
      <c r="E68" t="s">
        <v>2166</v>
      </c>
      <c r="F68" t="s">
        <v>2499</v>
      </c>
      <c r="G68" t="s">
        <v>2500</v>
      </c>
      <c r="H68" t="s">
        <v>2501</v>
      </c>
      <c r="I68" t="s">
        <v>2502</v>
      </c>
      <c r="J68" t="s">
        <v>2166</v>
      </c>
      <c r="K68" t="s">
        <v>2166</v>
      </c>
      <c r="L68" t="s">
        <v>2166</v>
      </c>
      <c r="M68" t="s">
        <v>2166</v>
      </c>
      <c r="N68" t="s">
        <v>2166</v>
      </c>
      <c r="O68" t="s">
        <v>2166</v>
      </c>
      <c r="P68" t="s">
        <v>2503</v>
      </c>
      <c r="Q68" t="s">
        <v>2166</v>
      </c>
      <c r="R68" t="s">
        <v>2504</v>
      </c>
      <c r="S68" t="s">
        <v>2505</v>
      </c>
      <c r="T68" t="s">
        <v>2166</v>
      </c>
      <c r="U68" t="s">
        <v>2166</v>
      </c>
      <c r="V68" t="s">
        <v>2166</v>
      </c>
      <c r="W68" t="s">
        <v>2166</v>
      </c>
      <c r="X68" t="s">
        <v>2506</v>
      </c>
      <c r="Y68" t="s">
        <v>2166</v>
      </c>
      <c r="Z68" t="s">
        <v>2499</v>
      </c>
      <c r="AA68" t="s">
        <v>2166</v>
      </c>
      <c r="AB68" t="s">
        <v>2166</v>
      </c>
      <c r="AC68" t="s">
        <v>2507</v>
      </c>
      <c r="AD68" t="s">
        <v>2166</v>
      </c>
      <c r="AE68" t="s">
        <v>2508</v>
      </c>
      <c r="AF68" t="s">
        <v>2166</v>
      </c>
      <c r="AG68" t="s">
        <v>2499</v>
      </c>
      <c r="AH68" t="s">
        <v>2499</v>
      </c>
      <c r="AI68" t="s">
        <v>2166</v>
      </c>
      <c r="AJ68" t="s">
        <v>2166</v>
      </c>
      <c r="AK68" t="s">
        <v>2508</v>
      </c>
      <c r="AL68" t="s">
        <v>2166</v>
      </c>
      <c r="AM68" t="s">
        <v>2509</v>
      </c>
      <c r="AN68" t="s">
        <v>2166</v>
      </c>
      <c r="AO68" t="s">
        <v>2166</v>
      </c>
      <c r="AP68" t="s">
        <v>2499</v>
      </c>
      <c r="AQ68" t="s">
        <v>2507</v>
      </c>
      <c r="AR68" t="s">
        <v>2499</v>
      </c>
    </row>
    <row r="69" spans="1:44" x14ac:dyDescent="0.25">
      <c r="A69" s="2" t="s">
        <v>2158</v>
      </c>
      <c r="B69" t="s">
        <v>2510</v>
      </c>
      <c r="C69" t="s">
        <v>2511</v>
      </c>
      <c r="D69" t="s">
        <v>2512</v>
      </c>
      <c r="E69" t="s">
        <v>2513</v>
      </c>
      <c r="F69" t="s">
        <v>2514</v>
      </c>
      <c r="G69" t="s">
        <v>2515</v>
      </c>
      <c r="H69" t="s">
        <v>2516</v>
      </c>
      <c r="I69" t="s">
        <v>2516</v>
      </c>
      <c r="J69" t="s">
        <v>2517</v>
      </c>
      <c r="K69" t="s">
        <v>2518</v>
      </c>
      <c r="L69" t="s">
        <v>2519</v>
      </c>
      <c r="M69" t="s">
        <v>2520</v>
      </c>
      <c r="N69" t="s">
        <v>2158</v>
      </c>
      <c r="O69" t="s">
        <v>2521</v>
      </c>
      <c r="P69" t="s">
        <v>2522</v>
      </c>
      <c r="Q69" t="s">
        <v>2519</v>
      </c>
      <c r="R69" t="s">
        <v>2523</v>
      </c>
      <c r="S69" t="s">
        <v>2524</v>
      </c>
      <c r="T69" t="s">
        <v>2525</v>
      </c>
      <c r="U69" t="s">
        <v>2526</v>
      </c>
      <c r="V69" t="s">
        <v>2527</v>
      </c>
      <c r="W69" t="s">
        <v>2528</v>
      </c>
      <c r="X69" t="s">
        <v>2529</v>
      </c>
      <c r="Y69" t="s">
        <v>2530</v>
      </c>
      <c r="Z69" t="s">
        <v>2531</v>
      </c>
      <c r="AA69" t="s">
        <v>2532</v>
      </c>
      <c r="AB69" t="s">
        <v>2533</v>
      </c>
      <c r="AC69" t="s">
        <v>2534</v>
      </c>
      <c r="AD69" t="s">
        <v>2535</v>
      </c>
      <c r="AE69" t="s">
        <v>2536</v>
      </c>
      <c r="AF69" t="s">
        <v>2537</v>
      </c>
      <c r="AG69" t="s">
        <v>2538</v>
      </c>
      <c r="AH69" t="s">
        <v>2539</v>
      </c>
      <c r="AI69" t="s">
        <v>2540</v>
      </c>
      <c r="AJ69" t="s">
        <v>2541</v>
      </c>
      <c r="AK69" t="s">
        <v>2528</v>
      </c>
      <c r="AL69" t="s">
        <v>2542</v>
      </c>
      <c r="AM69" t="s">
        <v>2543</v>
      </c>
      <c r="AN69" t="s">
        <v>2544</v>
      </c>
      <c r="AO69" t="s">
        <v>2545</v>
      </c>
      <c r="AP69" t="s">
        <v>2546</v>
      </c>
      <c r="AQ69" t="s">
        <v>2547</v>
      </c>
      <c r="AR69" t="s">
        <v>2538</v>
      </c>
    </row>
    <row r="70" spans="1:44" x14ac:dyDescent="0.25">
      <c r="A70" s="2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2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2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2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2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2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2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2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2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2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2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2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2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2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2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2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2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2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2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2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2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2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2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2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2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2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2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2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2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2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2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2" t="s">
        <v>2180</v>
      </c>
      <c r="B102" t="s">
        <v>2028</v>
      </c>
      <c r="C102" t="s">
        <v>2181</v>
      </c>
      <c r="D102" t="s">
        <v>2182</v>
      </c>
      <c r="E102" t="s">
        <v>2183</v>
      </c>
      <c r="F102" t="s">
        <v>2184</v>
      </c>
      <c r="G102" t="s">
        <v>2185</v>
      </c>
      <c r="H102" t="s">
        <v>2186</v>
      </c>
      <c r="I102" t="s">
        <v>2180</v>
      </c>
      <c r="J102" t="s">
        <v>2187</v>
      </c>
      <c r="K102" t="s">
        <v>2188</v>
      </c>
      <c r="L102" t="s">
        <v>2189</v>
      </c>
      <c r="M102" t="s">
        <v>2190</v>
      </c>
      <c r="N102" t="s">
        <v>2572</v>
      </c>
      <c r="O102" t="s">
        <v>2191</v>
      </c>
      <c r="P102" t="s">
        <v>2192</v>
      </c>
      <c r="Q102" t="s">
        <v>2193</v>
      </c>
      <c r="R102" t="s">
        <v>2194</v>
      </c>
      <c r="S102" t="s">
        <v>2195</v>
      </c>
      <c r="T102" t="s">
        <v>2029</v>
      </c>
      <c r="U102" t="s">
        <v>2196</v>
      </c>
      <c r="V102" t="s">
        <v>2197</v>
      </c>
      <c r="W102" t="s">
        <v>2198</v>
      </c>
      <c r="X102" t="s">
        <v>2199</v>
      </c>
      <c r="Y102" t="s">
        <v>2200</v>
      </c>
      <c r="Z102" t="s">
        <v>2201</v>
      </c>
      <c r="AA102" t="s">
        <v>2202</v>
      </c>
      <c r="AB102" t="s">
        <v>2203</v>
      </c>
      <c r="AC102" t="s">
        <v>2204</v>
      </c>
      <c r="AD102" t="s">
        <v>2205</v>
      </c>
      <c r="AE102" t="s">
        <v>2206</v>
      </c>
      <c r="AF102" t="s">
        <v>2207</v>
      </c>
      <c r="AG102" t="s">
        <v>2208</v>
      </c>
      <c r="AH102" t="s">
        <v>2209</v>
      </c>
      <c r="AI102" t="s">
        <v>2210</v>
      </c>
      <c r="AJ102" t="s">
        <v>2211</v>
      </c>
      <c r="AK102" t="s">
        <v>2212</v>
      </c>
      <c r="AL102" t="s">
        <v>2213</v>
      </c>
      <c r="AM102" t="s">
        <v>2214</v>
      </c>
      <c r="AN102" t="s">
        <v>2215</v>
      </c>
      <c r="AO102" t="s">
        <v>2216</v>
      </c>
      <c r="AP102" t="s">
        <v>2217</v>
      </c>
      <c r="AQ102" t="s">
        <v>2030</v>
      </c>
      <c r="AR102" t="s">
        <v>2218</v>
      </c>
    </row>
    <row r="103" spans="1:44" x14ac:dyDescent="0.25">
      <c r="A103" s="3"/>
    </row>
    <row r="104" spans="1:44" x14ac:dyDescent="0.25">
      <c r="A104" s="3"/>
    </row>
    <row r="105" spans="1:44" x14ac:dyDescent="0.25">
      <c r="A105" s="3"/>
    </row>
    <row r="106" spans="1:44" x14ac:dyDescent="0.25">
      <c r="A106" s="3"/>
    </row>
    <row r="107" spans="1:44" x14ac:dyDescent="0.25">
      <c r="A107" s="3"/>
    </row>
    <row r="108" spans="1:44" x14ac:dyDescent="0.25">
      <c r="A108" s="3"/>
    </row>
    <row r="109" spans="1:44" x14ac:dyDescent="0.25">
      <c r="A109" s="3"/>
    </row>
    <row r="110" spans="1:44" x14ac:dyDescent="0.25">
      <c r="A110" s="3"/>
    </row>
    <row r="111" spans="1:44" x14ac:dyDescent="0.25">
      <c r="A111" s="3"/>
    </row>
    <row r="112" spans="1:44" x14ac:dyDescent="0.25">
      <c r="A112" s="3"/>
    </row>
    <row r="113" spans="1:43" x14ac:dyDescent="0.25">
      <c r="A113" s="3"/>
    </row>
    <row r="114" spans="1:43" x14ac:dyDescent="0.25">
      <c r="A114" s="3"/>
    </row>
    <row r="115" spans="1:43" x14ac:dyDescent="0.25">
      <c r="A115" s="2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30"/>
  <sheetViews>
    <sheetView showGridLines="0" workbookViewId="0"/>
  </sheetViews>
  <sheetFormatPr defaultColWidth="9.140625" defaultRowHeight="15" x14ac:dyDescent="0.25"/>
  <cols>
    <col min="1" max="1" width="1.140625" style="18" customWidth="1"/>
    <col min="2" max="2" width="18.85546875" style="18" bestFit="1" customWidth="1"/>
    <col min="3" max="3" width="20.28515625" style="18" customWidth="1"/>
    <col min="4" max="4" width="3.28515625" style="18" customWidth="1"/>
    <col min="5" max="5" width="1.140625" style="18" customWidth="1"/>
    <col min="6" max="6" width="18.28515625" style="18" customWidth="1"/>
    <col min="7" max="7" width="8.85546875" style="18" customWidth="1"/>
    <col min="8" max="8" width="9.28515625" style="18" customWidth="1"/>
    <col min="9" max="9" width="8.7109375" style="18" customWidth="1"/>
    <col min="10" max="10" width="3.5703125" style="18" customWidth="1"/>
    <col min="11" max="11" width="1" style="18" customWidth="1"/>
    <col min="12" max="12" width="9.140625" style="18"/>
    <col min="13" max="13" width="27.7109375" style="18" customWidth="1"/>
    <col min="14" max="14" width="3" style="18" customWidth="1"/>
    <col min="15" max="21" width="9.140625" style="108"/>
    <col min="22" max="16384" width="9.140625" style="18"/>
  </cols>
  <sheetData>
    <row r="1" spans="2:27" ht="7.5" customHeight="1" x14ac:dyDescent="0.25"/>
    <row r="2" spans="2:27" ht="16.5" thickBot="1" x14ac:dyDescent="0.3">
      <c r="B2" s="70" t="s">
        <v>2112</v>
      </c>
      <c r="C2" s="71"/>
      <c r="D2" s="72"/>
      <c r="F2" s="70" t="s">
        <v>2579</v>
      </c>
      <c r="G2" s="71"/>
      <c r="H2" s="71"/>
      <c r="I2" s="71"/>
      <c r="J2" s="72"/>
      <c r="L2" s="70" t="s">
        <v>2113</v>
      </c>
      <c r="M2" s="71"/>
      <c r="N2" s="72"/>
    </row>
    <row r="3" spans="2:27" ht="9" customHeight="1" x14ac:dyDescent="0.25">
      <c r="B3" s="73"/>
      <c r="C3" s="74"/>
      <c r="D3" s="75"/>
      <c r="F3" s="73"/>
      <c r="G3" s="5"/>
      <c r="H3" s="5"/>
      <c r="I3" s="5"/>
      <c r="J3" s="75"/>
      <c r="L3" s="73"/>
      <c r="M3" s="74"/>
      <c r="N3" s="75"/>
    </row>
    <row r="4" spans="2:27" x14ac:dyDescent="0.25">
      <c r="B4" s="85" t="s">
        <v>2114</v>
      </c>
      <c r="C4" s="87" t="s">
        <v>0</v>
      </c>
      <c r="D4" s="75"/>
      <c r="F4" s="86"/>
      <c r="G4" s="7" t="s">
        <v>2580</v>
      </c>
      <c r="H4" s="7" t="s">
        <v>2584</v>
      </c>
      <c r="I4" s="7" t="s">
        <v>2582</v>
      </c>
      <c r="J4" s="75"/>
      <c r="L4" s="73"/>
      <c r="M4" s="76"/>
      <c r="N4" s="75"/>
    </row>
    <row r="5" spans="2:27" x14ac:dyDescent="0.25">
      <c r="B5" s="73"/>
      <c r="C5" s="74"/>
      <c r="D5" s="75"/>
      <c r="F5" s="86"/>
      <c r="G5" s="7" t="s">
        <v>2581</v>
      </c>
      <c r="H5" s="8" t="s">
        <v>2585</v>
      </c>
      <c r="I5" s="7"/>
      <c r="J5" s="75"/>
      <c r="L5" s="77" t="s">
        <v>2115</v>
      </c>
      <c r="M5" s="78" t="s">
        <v>2116</v>
      </c>
      <c r="N5" s="75"/>
    </row>
    <row r="6" spans="2:27" x14ac:dyDescent="0.25">
      <c r="B6" s="85" t="s">
        <v>2117</v>
      </c>
      <c r="C6" s="87" t="s">
        <v>2178</v>
      </c>
      <c r="D6" s="75"/>
      <c r="F6" s="86" t="str">
        <f t="shared" ref="F6:F37" si="0">VLOOKUP(R17,T,lang,FALSE)</f>
        <v>Argentina</v>
      </c>
      <c r="G6" s="6">
        <v>0</v>
      </c>
      <c r="H6" s="6">
        <v>0</v>
      </c>
      <c r="I6" s="6">
        <v>6</v>
      </c>
      <c r="J6" s="75"/>
      <c r="L6" s="77" t="s">
        <v>2118</v>
      </c>
      <c r="M6" s="79" t="s">
        <v>2119</v>
      </c>
      <c r="N6" s="75"/>
    </row>
    <row r="7" spans="2:27" x14ac:dyDescent="0.25">
      <c r="B7" s="73"/>
      <c r="C7" s="74"/>
      <c r="D7" s="75"/>
      <c r="F7" s="86" t="str">
        <f t="shared" si="0"/>
        <v>Australia</v>
      </c>
      <c r="G7" s="98">
        <v>0</v>
      </c>
      <c r="H7" s="98">
        <v>0</v>
      </c>
      <c r="I7" s="98">
        <v>7</v>
      </c>
      <c r="J7" s="75"/>
      <c r="L7" s="77" t="s">
        <v>2120</v>
      </c>
      <c r="M7" s="79" t="s">
        <v>2121</v>
      </c>
      <c r="N7" s="75"/>
    </row>
    <row r="8" spans="2:27" x14ac:dyDescent="0.25">
      <c r="B8" s="85" t="s">
        <v>2122</v>
      </c>
      <c r="C8" s="87" t="s">
        <v>2123</v>
      </c>
      <c r="D8" s="75"/>
      <c r="F8" s="86" t="str">
        <f t="shared" si="0"/>
        <v>Belgium</v>
      </c>
      <c r="G8" s="98">
        <v>0</v>
      </c>
      <c r="H8" s="98">
        <v>0</v>
      </c>
      <c r="I8" s="98">
        <v>5</v>
      </c>
      <c r="J8" s="75"/>
      <c r="L8" s="77" t="s">
        <v>2124</v>
      </c>
      <c r="M8" s="79" t="s">
        <v>2125</v>
      </c>
      <c r="N8" s="75"/>
    </row>
    <row r="9" spans="2:27" x14ac:dyDescent="0.25">
      <c r="B9" s="73"/>
      <c r="C9" s="74"/>
      <c r="D9" s="75"/>
      <c r="F9" s="86" t="str">
        <f t="shared" si="0"/>
        <v>Brazil</v>
      </c>
      <c r="G9" s="98">
        <v>0</v>
      </c>
      <c r="H9" s="98">
        <v>0</v>
      </c>
      <c r="I9" s="98">
        <v>3</v>
      </c>
      <c r="J9" s="75"/>
      <c r="L9" s="77" t="s">
        <v>2126</v>
      </c>
      <c r="M9" s="80" t="s">
        <v>2578</v>
      </c>
      <c r="N9" s="75"/>
    </row>
    <row r="10" spans="2:27" x14ac:dyDescent="0.25">
      <c r="B10" s="85" t="s">
        <v>2127</v>
      </c>
      <c r="C10" s="87" t="s">
        <v>2128</v>
      </c>
      <c r="D10" s="75"/>
      <c r="F10" s="86" t="str">
        <f t="shared" si="0"/>
        <v>Colombia</v>
      </c>
      <c r="G10" s="98">
        <v>1</v>
      </c>
      <c r="H10" s="98">
        <v>0</v>
      </c>
      <c r="I10" s="98">
        <v>3</v>
      </c>
      <c r="J10" s="75"/>
      <c r="L10" s="73"/>
      <c r="M10" s="81"/>
      <c r="N10" s="75"/>
    </row>
    <row r="11" spans="2:27" x14ac:dyDescent="0.25">
      <c r="B11" s="73"/>
      <c r="C11" s="74"/>
      <c r="D11" s="75"/>
      <c r="F11" s="86" t="str">
        <f t="shared" si="0"/>
        <v>Costa Rica</v>
      </c>
      <c r="G11" s="98">
        <v>0</v>
      </c>
      <c r="H11" s="98">
        <v>0</v>
      </c>
      <c r="I11" s="98">
        <v>6</v>
      </c>
      <c r="J11" s="75"/>
      <c r="L11" s="82"/>
      <c r="M11" s="83"/>
      <c r="N11" s="84"/>
    </row>
    <row r="12" spans="2:27" ht="15.75" customHeight="1" x14ac:dyDescent="0.25">
      <c r="B12" s="85" t="s">
        <v>2179</v>
      </c>
      <c r="C12" s="87" t="s">
        <v>1151</v>
      </c>
      <c r="D12" s="75"/>
      <c r="F12" s="86" t="str">
        <f t="shared" si="0"/>
        <v>Croatia</v>
      </c>
      <c r="G12" s="98">
        <v>0</v>
      </c>
      <c r="H12" s="98">
        <v>0</v>
      </c>
      <c r="I12" s="98">
        <v>8</v>
      </c>
      <c r="J12" s="75"/>
      <c r="K12" s="4"/>
      <c r="L12" s="4"/>
      <c r="M12" s="4"/>
      <c r="N12" s="4"/>
      <c r="V12" s="4"/>
      <c r="W12" s="4"/>
      <c r="X12" s="4"/>
      <c r="Y12" s="4"/>
      <c r="Z12" s="4"/>
      <c r="AA12" s="4"/>
    </row>
    <row r="13" spans="2:27" ht="15.75" customHeight="1" x14ac:dyDescent="0.25">
      <c r="B13" s="82"/>
      <c r="C13" s="83"/>
      <c r="D13" s="84"/>
      <c r="F13" s="86" t="str">
        <f t="shared" si="0"/>
        <v>Denmark</v>
      </c>
      <c r="G13" s="98">
        <v>0</v>
      </c>
      <c r="H13" s="98">
        <v>0</v>
      </c>
      <c r="I13" s="98">
        <v>5</v>
      </c>
      <c r="J13" s="75"/>
      <c r="K13" s="4"/>
      <c r="L13" s="4"/>
      <c r="M13" s="4"/>
      <c r="N13" s="4"/>
      <c r="V13" s="4"/>
      <c r="W13" s="4"/>
      <c r="X13" s="4"/>
      <c r="Y13" s="4"/>
      <c r="Z13" s="4"/>
      <c r="AA13" s="4"/>
    </row>
    <row r="14" spans="2:27" ht="15.75" customHeight="1" x14ac:dyDescent="0.25">
      <c r="F14" s="86" t="str">
        <f t="shared" si="0"/>
        <v>Egypt</v>
      </c>
      <c r="G14" s="98">
        <v>0</v>
      </c>
      <c r="H14" s="98">
        <v>0</v>
      </c>
      <c r="I14" s="98">
        <v>5</v>
      </c>
      <c r="J14" s="75"/>
      <c r="K14" s="4"/>
      <c r="L14" s="4"/>
      <c r="M14" s="4"/>
      <c r="N14" s="4"/>
      <c r="V14" s="4"/>
      <c r="W14" s="4"/>
      <c r="X14" s="4"/>
      <c r="Y14" s="4"/>
      <c r="Z14" s="4"/>
      <c r="AA14" s="4"/>
    </row>
    <row r="15" spans="2:27" ht="15.75" customHeight="1" x14ac:dyDescent="0.25">
      <c r="F15" s="86" t="str">
        <f t="shared" si="0"/>
        <v>England</v>
      </c>
      <c r="G15" s="98">
        <v>0</v>
      </c>
      <c r="H15" s="98">
        <v>0</v>
      </c>
      <c r="I15" s="98">
        <v>2</v>
      </c>
      <c r="J15" s="75"/>
      <c r="O15" s="108" t="s">
        <v>2129</v>
      </c>
      <c r="P15" s="108">
        <f>IF(ISERROR(MATCH(C4,lang_list,0)),1,MATCH(C4,lang_list,0))</f>
        <v>1</v>
      </c>
      <c r="R15" s="108" t="str">
        <f>IFERROR(VLOOKUP(C12,T,lang,FALSE),"")</f>
        <v>Argentina</v>
      </c>
      <c r="V15" s="4"/>
      <c r="W15" s="4"/>
      <c r="X15" s="4"/>
      <c r="Y15" s="4"/>
      <c r="Z15" s="4"/>
      <c r="AA15" s="4"/>
    </row>
    <row r="16" spans="2:27" ht="15.75" customHeight="1" x14ac:dyDescent="0.25">
      <c r="F16" s="86" t="str">
        <f t="shared" si="0"/>
        <v>France</v>
      </c>
      <c r="G16" s="98">
        <v>0</v>
      </c>
      <c r="H16" s="98">
        <v>0</v>
      </c>
      <c r="I16" s="98">
        <v>3</v>
      </c>
      <c r="J16" s="75"/>
      <c r="O16" s="108" t="s">
        <v>2130</v>
      </c>
      <c r="P16" s="108">
        <f>TIME(VLOOKUP(C8,O18:P41,2,FALSE),VLOOKUP(C10,O43:P46,2,FALSE),0)+IF(C6="Yes",TIME(1,0,0),0)</f>
        <v>0.45833333333333331</v>
      </c>
      <c r="V16" s="4"/>
      <c r="W16" s="4"/>
      <c r="X16" s="4"/>
      <c r="Y16" s="4"/>
      <c r="Z16" s="4"/>
      <c r="AA16" s="4"/>
    </row>
    <row r="17" spans="6:27" x14ac:dyDescent="0.25">
      <c r="F17" s="86" t="str">
        <f t="shared" si="0"/>
        <v>Germany</v>
      </c>
      <c r="G17" s="98">
        <v>0</v>
      </c>
      <c r="H17" s="98">
        <v>1</v>
      </c>
      <c r="I17" s="98">
        <v>2</v>
      </c>
      <c r="J17" s="75"/>
      <c r="R17" s="108" t="s">
        <v>1151</v>
      </c>
      <c r="S17" s="108" t="str">
        <f t="shared" ref="S17:S48" si="1">VLOOKUP(R17,T,lang,FALSE)</f>
        <v>Argentina</v>
      </c>
      <c r="T17" s="108">
        <f>-4*G6+-3*H6+-1*I6</f>
        <v>-6</v>
      </c>
      <c r="U17" s="108">
        <v>0</v>
      </c>
      <c r="V17" s="4"/>
      <c r="W17" s="4"/>
      <c r="X17" s="4"/>
      <c r="Y17" s="4"/>
      <c r="Z17" s="4"/>
      <c r="AA17" s="4"/>
    </row>
    <row r="18" spans="6:27" x14ac:dyDescent="0.25">
      <c r="F18" s="86" t="str">
        <f t="shared" si="0"/>
        <v>Iceland</v>
      </c>
      <c r="G18" s="98">
        <v>0</v>
      </c>
      <c r="H18" s="98">
        <v>0</v>
      </c>
      <c r="I18" s="98">
        <v>3</v>
      </c>
      <c r="J18" s="75"/>
      <c r="O18" s="108" t="s">
        <v>2131</v>
      </c>
      <c r="P18" s="108">
        <v>0</v>
      </c>
      <c r="R18" s="108" t="s">
        <v>1328</v>
      </c>
      <c r="S18" s="108" t="str">
        <f t="shared" si="1"/>
        <v>Australia</v>
      </c>
      <c r="T18" s="108">
        <f t="shared" ref="T18:T48" si="2">-4*G7+-3*H7+-1*I7</f>
        <v>-7</v>
      </c>
      <c r="U18" s="108">
        <v>1</v>
      </c>
      <c r="V18" s="4"/>
      <c r="W18" s="4"/>
      <c r="X18" s="4"/>
      <c r="Y18" s="4"/>
      <c r="Z18" s="4"/>
      <c r="AA18" s="4"/>
    </row>
    <row r="19" spans="6:27" x14ac:dyDescent="0.25">
      <c r="F19" s="86" t="str">
        <f t="shared" si="0"/>
        <v>Iran</v>
      </c>
      <c r="G19" s="98">
        <v>0</v>
      </c>
      <c r="H19" s="98">
        <v>0</v>
      </c>
      <c r="I19" s="98">
        <v>7</v>
      </c>
      <c r="J19" s="75"/>
      <c r="O19" s="108" t="s">
        <v>2132</v>
      </c>
      <c r="P19" s="108">
        <v>1</v>
      </c>
      <c r="R19" s="108" t="s">
        <v>1484</v>
      </c>
      <c r="S19" s="108" t="str">
        <f t="shared" si="1"/>
        <v>Belgium</v>
      </c>
      <c r="T19" s="108">
        <f t="shared" si="2"/>
        <v>-5</v>
      </c>
      <c r="U19" s="108">
        <v>2</v>
      </c>
      <c r="V19" s="4"/>
      <c r="W19" s="4"/>
      <c r="X19" s="4"/>
      <c r="Y19" s="4"/>
      <c r="Z19" s="4"/>
      <c r="AA19" s="4"/>
    </row>
    <row r="20" spans="6:27" x14ac:dyDescent="0.25">
      <c r="F20" s="86" t="str">
        <f t="shared" si="0"/>
        <v>Japan</v>
      </c>
      <c r="G20" s="98">
        <v>0</v>
      </c>
      <c r="H20" s="98">
        <v>0</v>
      </c>
      <c r="I20" s="98">
        <v>4</v>
      </c>
      <c r="J20" s="75"/>
      <c r="O20" s="108" t="s">
        <v>2133</v>
      </c>
      <c r="P20" s="108">
        <v>2</v>
      </c>
      <c r="R20" s="108" t="s">
        <v>1454</v>
      </c>
      <c r="S20" s="108" t="str">
        <f t="shared" si="1"/>
        <v>Brazil</v>
      </c>
      <c r="T20" s="108">
        <f t="shared" si="2"/>
        <v>-3</v>
      </c>
      <c r="U20" s="108">
        <v>3</v>
      </c>
      <c r="V20" s="4"/>
      <c r="W20" s="4"/>
      <c r="X20" s="4"/>
      <c r="Y20" s="4"/>
      <c r="Z20" s="4"/>
      <c r="AA20" s="4"/>
    </row>
    <row r="21" spans="6:27" x14ac:dyDescent="0.25">
      <c r="F21" s="86" t="str">
        <f t="shared" si="0"/>
        <v>Korea Republic</v>
      </c>
      <c r="G21" s="98">
        <v>0</v>
      </c>
      <c r="H21" s="98">
        <v>0</v>
      </c>
      <c r="I21" s="98">
        <v>5</v>
      </c>
      <c r="J21" s="75"/>
      <c r="O21" s="108" t="s">
        <v>2134</v>
      </c>
      <c r="P21" s="108">
        <v>3</v>
      </c>
      <c r="R21" s="108" t="s">
        <v>1358</v>
      </c>
      <c r="S21" s="108" t="str">
        <f t="shared" si="1"/>
        <v>Colombia</v>
      </c>
      <c r="T21" s="108">
        <f t="shared" si="2"/>
        <v>-7</v>
      </c>
      <c r="U21" s="108">
        <v>4</v>
      </c>
      <c r="V21" s="4"/>
      <c r="W21" s="4"/>
      <c r="X21" s="4"/>
      <c r="Y21" s="4"/>
      <c r="Z21" s="4"/>
      <c r="AA21" s="4"/>
    </row>
    <row r="22" spans="6:27" x14ac:dyDescent="0.25">
      <c r="F22" s="86" t="str">
        <f t="shared" si="0"/>
        <v>Mexico</v>
      </c>
      <c r="G22" s="98">
        <v>0</v>
      </c>
      <c r="H22" s="98">
        <v>0</v>
      </c>
      <c r="I22" s="98">
        <v>8</v>
      </c>
      <c r="J22" s="75"/>
      <c r="O22" s="108" t="s">
        <v>2135</v>
      </c>
      <c r="P22" s="108">
        <v>4</v>
      </c>
      <c r="R22" s="108" t="s">
        <v>1384</v>
      </c>
      <c r="S22" s="108" t="str">
        <f t="shared" si="1"/>
        <v>Costa Rica</v>
      </c>
      <c r="T22" s="108">
        <f t="shared" si="2"/>
        <v>-6</v>
      </c>
      <c r="U22" s="108">
        <v>5</v>
      </c>
      <c r="V22" s="4"/>
      <c r="W22" s="4"/>
      <c r="X22" s="4"/>
      <c r="Y22" s="4"/>
      <c r="Z22" s="4"/>
      <c r="AA22" s="4"/>
    </row>
    <row r="23" spans="6:27" x14ac:dyDescent="0.25">
      <c r="F23" s="86" t="str">
        <f t="shared" si="0"/>
        <v>Morocco</v>
      </c>
      <c r="G23" s="98">
        <v>0</v>
      </c>
      <c r="H23" s="98">
        <v>0</v>
      </c>
      <c r="I23" s="98">
        <v>4</v>
      </c>
      <c r="J23" s="75"/>
      <c r="O23" s="108" t="s">
        <v>2136</v>
      </c>
      <c r="P23" s="108">
        <v>5</v>
      </c>
      <c r="R23" s="108" t="s">
        <v>1039</v>
      </c>
      <c r="S23" s="108" t="str">
        <f t="shared" si="1"/>
        <v>Croatia</v>
      </c>
      <c r="T23" s="108">
        <f t="shared" si="2"/>
        <v>-8</v>
      </c>
      <c r="U23" s="108">
        <v>6</v>
      </c>
      <c r="V23" s="4"/>
      <c r="W23" s="4"/>
      <c r="X23" s="4"/>
      <c r="Y23" s="4"/>
      <c r="Z23" s="4"/>
      <c r="AA23" s="4"/>
    </row>
    <row r="24" spans="6:27" x14ac:dyDescent="0.25">
      <c r="F24" s="86" t="str">
        <f t="shared" si="0"/>
        <v>Nigeria</v>
      </c>
      <c r="G24" s="98">
        <v>0</v>
      </c>
      <c r="H24" s="98">
        <v>0</v>
      </c>
      <c r="I24" s="98">
        <v>11</v>
      </c>
      <c r="J24" s="75"/>
      <c r="O24" s="108" t="s">
        <v>2137</v>
      </c>
      <c r="P24" s="108">
        <v>6</v>
      </c>
      <c r="R24" s="108" t="s">
        <v>2162</v>
      </c>
      <c r="S24" s="108" t="str">
        <f t="shared" si="1"/>
        <v>Denmark</v>
      </c>
      <c r="T24" s="108">
        <f t="shared" si="2"/>
        <v>-5</v>
      </c>
      <c r="U24" s="108">
        <v>7</v>
      </c>
      <c r="V24" s="4"/>
      <c r="W24" s="4"/>
      <c r="X24" s="4"/>
      <c r="Y24" s="4"/>
      <c r="Z24" s="4"/>
      <c r="AA24" s="4"/>
    </row>
    <row r="25" spans="6:27" x14ac:dyDescent="0.25">
      <c r="F25" s="86" t="str">
        <f t="shared" si="0"/>
        <v>Panama</v>
      </c>
      <c r="G25" s="98">
        <v>0</v>
      </c>
      <c r="H25" s="98">
        <v>0</v>
      </c>
      <c r="I25" s="98">
        <v>5</v>
      </c>
      <c r="J25" s="75"/>
      <c r="O25" s="108" t="s">
        <v>2138</v>
      </c>
      <c r="P25" s="108">
        <v>7</v>
      </c>
      <c r="R25" s="108" t="s">
        <v>2159</v>
      </c>
      <c r="S25" s="108" t="str">
        <f t="shared" si="1"/>
        <v>Egypt</v>
      </c>
      <c r="T25" s="108">
        <f t="shared" si="2"/>
        <v>-5</v>
      </c>
      <c r="U25" s="108">
        <v>8</v>
      </c>
      <c r="V25" s="4"/>
      <c r="W25" s="4"/>
      <c r="X25" s="4"/>
      <c r="Y25" s="4"/>
      <c r="Z25" s="4"/>
      <c r="AA25" s="4"/>
    </row>
    <row r="26" spans="6:27" x14ac:dyDescent="0.25">
      <c r="F26" s="86" t="str">
        <f t="shared" si="0"/>
        <v>Peru</v>
      </c>
      <c r="G26" s="98">
        <v>0</v>
      </c>
      <c r="H26" s="98">
        <v>0</v>
      </c>
      <c r="I26" s="98">
        <v>3</v>
      </c>
      <c r="J26" s="75"/>
      <c r="O26" s="108" t="s">
        <v>2139</v>
      </c>
      <c r="P26" s="108">
        <v>8</v>
      </c>
      <c r="R26" s="108" t="s">
        <v>1231</v>
      </c>
      <c r="S26" s="108" t="str">
        <f t="shared" si="1"/>
        <v>England</v>
      </c>
      <c r="T26" s="108">
        <f t="shared" si="2"/>
        <v>-2</v>
      </c>
      <c r="U26" s="108">
        <v>9</v>
      </c>
      <c r="V26" s="4"/>
      <c r="W26" s="4"/>
      <c r="X26" s="4"/>
      <c r="Y26" s="4"/>
      <c r="Z26" s="4"/>
      <c r="AA26" s="4"/>
    </row>
    <row r="27" spans="6:27" x14ac:dyDescent="0.25">
      <c r="F27" s="86" t="str">
        <f t="shared" si="0"/>
        <v>Poland</v>
      </c>
      <c r="G27" s="98">
        <v>0</v>
      </c>
      <c r="H27" s="98">
        <v>0</v>
      </c>
      <c r="I27" s="98">
        <v>6</v>
      </c>
      <c r="J27" s="75"/>
      <c r="O27" s="108" t="s">
        <v>2140</v>
      </c>
      <c r="P27" s="108">
        <v>9</v>
      </c>
      <c r="R27" s="108" t="s">
        <v>1120</v>
      </c>
      <c r="S27" s="108" t="str">
        <f t="shared" si="1"/>
        <v>France</v>
      </c>
      <c r="T27" s="108">
        <f t="shared" si="2"/>
        <v>-3</v>
      </c>
      <c r="U27" s="108">
        <v>10</v>
      </c>
      <c r="V27" s="4"/>
      <c r="W27" s="4"/>
      <c r="X27" s="4"/>
      <c r="Y27" s="4"/>
      <c r="Z27" s="4"/>
      <c r="AA27" s="4"/>
    </row>
    <row r="28" spans="6:27" x14ac:dyDescent="0.25">
      <c r="F28" s="86" t="str">
        <f t="shared" si="0"/>
        <v>Portugal</v>
      </c>
      <c r="G28" s="98">
        <v>0</v>
      </c>
      <c r="H28" s="98">
        <v>1</v>
      </c>
      <c r="I28" s="98">
        <v>3</v>
      </c>
      <c r="J28" s="75"/>
      <c r="O28" s="108" t="s">
        <v>2141</v>
      </c>
      <c r="P28" s="108">
        <v>10</v>
      </c>
      <c r="R28" s="108" t="s">
        <v>1293</v>
      </c>
      <c r="S28" s="108" t="str">
        <f t="shared" si="1"/>
        <v>Germany</v>
      </c>
      <c r="T28" s="108">
        <f t="shared" si="2"/>
        <v>-5</v>
      </c>
      <c r="U28" s="108">
        <v>11</v>
      </c>
      <c r="V28" s="4"/>
      <c r="W28" s="4"/>
      <c r="X28" s="4"/>
      <c r="Y28" s="4"/>
      <c r="Z28" s="4"/>
      <c r="AA28" s="4"/>
    </row>
    <row r="29" spans="6:27" x14ac:dyDescent="0.25">
      <c r="F29" s="86" t="str">
        <f t="shared" si="0"/>
        <v>Russia</v>
      </c>
      <c r="G29" s="98">
        <v>0</v>
      </c>
      <c r="H29" s="98">
        <v>0</v>
      </c>
      <c r="I29" s="98">
        <v>1</v>
      </c>
      <c r="J29" s="75"/>
      <c r="O29" s="108" t="s">
        <v>2123</v>
      </c>
      <c r="P29" s="108">
        <v>11</v>
      </c>
      <c r="R29" s="108" t="s">
        <v>2163</v>
      </c>
      <c r="S29" s="108" t="str">
        <f t="shared" si="1"/>
        <v>Iceland</v>
      </c>
      <c r="T29" s="108">
        <f t="shared" si="2"/>
        <v>-3</v>
      </c>
      <c r="U29" s="108">
        <v>12</v>
      </c>
      <c r="V29" s="4"/>
      <c r="W29" s="4"/>
      <c r="X29" s="4"/>
      <c r="Y29" s="4"/>
      <c r="Z29" s="4"/>
      <c r="AA29" s="4"/>
    </row>
    <row r="30" spans="6:27" x14ac:dyDescent="0.25">
      <c r="F30" s="86" t="str">
        <f t="shared" si="0"/>
        <v>Saudi Arabia</v>
      </c>
      <c r="G30" s="98">
        <v>0</v>
      </c>
      <c r="H30" s="98">
        <v>0</v>
      </c>
      <c r="I30" s="98">
        <v>6</v>
      </c>
      <c r="J30" s="75"/>
      <c r="O30" s="108" t="s">
        <v>2142</v>
      </c>
      <c r="P30" s="108">
        <v>12</v>
      </c>
      <c r="R30" s="108" t="s">
        <v>1435</v>
      </c>
      <c r="S30" s="108" t="str">
        <f t="shared" si="1"/>
        <v>Iran</v>
      </c>
      <c r="T30" s="108">
        <f t="shared" si="2"/>
        <v>-7</v>
      </c>
      <c r="U30" s="108">
        <v>13</v>
      </c>
      <c r="V30" s="4"/>
      <c r="W30" s="4"/>
      <c r="X30" s="4"/>
      <c r="Y30" s="4"/>
      <c r="Z30" s="4"/>
      <c r="AA30" s="4"/>
    </row>
    <row r="31" spans="6:27" x14ac:dyDescent="0.25">
      <c r="F31" s="86" t="str">
        <f t="shared" si="0"/>
        <v>Senegal</v>
      </c>
      <c r="G31" s="98">
        <v>0</v>
      </c>
      <c r="H31" s="98">
        <v>0</v>
      </c>
      <c r="I31" s="98">
        <v>9</v>
      </c>
      <c r="J31" s="75"/>
      <c r="O31" s="108" t="s">
        <v>2143</v>
      </c>
      <c r="P31" s="108">
        <v>13</v>
      </c>
      <c r="R31" s="108" t="s">
        <v>1406</v>
      </c>
      <c r="S31" s="108" t="str">
        <f t="shared" si="1"/>
        <v>Japan</v>
      </c>
      <c r="T31" s="108">
        <f t="shared" si="2"/>
        <v>-4</v>
      </c>
      <c r="U31" s="108">
        <v>14</v>
      </c>
      <c r="V31" s="4"/>
      <c r="W31" s="4"/>
      <c r="X31" s="4"/>
      <c r="Y31" s="4"/>
      <c r="Z31" s="4"/>
      <c r="AA31" s="4"/>
    </row>
    <row r="32" spans="6:27" x14ac:dyDescent="0.25">
      <c r="F32" s="86" t="str">
        <f t="shared" si="0"/>
        <v>Serbia</v>
      </c>
      <c r="G32" s="98">
        <v>0</v>
      </c>
      <c r="H32" s="98">
        <v>0</v>
      </c>
      <c r="I32" s="98">
        <v>10</v>
      </c>
      <c r="J32" s="75"/>
      <c r="O32" s="108" t="s">
        <v>2144</v>
      </c>
      <c r="P32" s="108">
        <v>14</v>
      </c>
      <c r="R32" s="108" t="s">
        <v>1195</v>
      </c>
      <c r="S32" s="108" t="str">
        <f t="shared" si="1"/>
        <v>Korea Republic</v>
      </c>
      <c r="T32" s="108">
        <f t="shared" si="2"/>
        <v>-5</v>
      </c>
      <c r="U32" s="108">
        <v>15</v>
      </c>
      <c r="V32" s="4"/>
      <c r="W32" s="4"/>
      <c r="X32" s="4"/>
      <c r="Y32" s="4"/>
      <c r="Z32" s="4"/>
      <c r="AA32" s="4"/>
    </row>
    <row r="33" spans="6:27" x14ac:dyDescent="0.25">
      <c r="F33" s="86" t="str">
        <f t="shared" si="0"/>
        <v>Spain</v>
      </c>
      <c r="G33" s="98">
        <v>0</v>
      </c>
      <c r="H33" s="98">
        <v>0</v>
      </c>
      <c r="I33" s="98">
        <v>1</v>
      </c>
      <c r="J33" s="75"/>
      <c r="O33" s="108" t="s">
        <v>2145</v>
      </c>
      <c r="P33" s="108">
        <v>15</v>
      </c>
      <c r="R33" s="108" t="s">
        <v>1075</v>
      </c>
      <c r="S33" s="108" t="str">
        <f t="shared" si="1"/>
        <v>Mexico</v>
      </c>
      <c r="T33" s="108">
        <f t="shared" si="2"/>
        <v>-8</v>
      </c>
      <c r="U33" s="108">
        <v>16</v>
      </c>
      <c r="V33" s="4"/>
      <c r="W33" s="4"/>
      <c r="X33" s="4"/>
      <c r="Y33" s="4"/>
      <c r="Z33" s="4"/>
      <c r="AA33" s="4"/>
    </row>
    <row r="34" spans="6:27" x14ac:dyDescent="0.25">
      <c r="F34" s="86" t="str">
        <f t="shared" si="0"/>
        <v>Sweden</v>
      </c>
      <c r="G34" s="98">
        <v>0</v>
      </c>
      <c r="H34" s="98">
        <v>0</v>
      </c>
      <c r="I34" s="98">
        <v>5</v>
      </c>
      <c r="J34" s="75"/>
      <c r="O34" s="108" t="s">
        <v>2146</v>
      </c>
      <c r="P34" s="108">
        <v>16</v>
      </c>
      <c r="R34" s="108" t="s">
        <v>2160</v>
      </c>
      <c r="S34" s="108" t="str">
        <f t="shared" si="1"/>
        <v>Morocco</v>
      </c>
      <c r="T34" s="108">
        <f t="shared" si="2"/>
        <v>-4</v>
      </c>
      <c r="U34" s="108">
        <v>17</v>
      </c>
      <c r="V34" s="4"/>
      <c r="W34" s="4"/>
      <c r="X34" s="4"/>
      <c r="Y34" s="4"/>
      <c r="Z34" s="4"/>
      <c r="AA34" s="4"/>
    </row>
    <row r="35" spans="6:27" x14ac:dyDescent="0.25">
      <c r="F35" s="86" t="str">
        <f t="shared" si="0"/>
        <v>Switzerland</v>
      </c>
      <c r="G35" s="98">
        <v>0</v>
      </c>
      <c r="H35" s="98">
        <v>0</v>
      </c>
      <c r="I35" s="98">
        <v>7</v>
      </c>
      <c r="J35" s="75"/>
      <c r="O35" s="108" t="s">
        <v>2147</v>
      </c>
      <c r="P35" s="108">
        <v>17</v>
      </c>
      <c r="R35" s="108" t="s">
        <v>1172</v>
      </c>
      <c r="S35" s="108" t="str">
        <f t="shared" si="1"/>
        <v>Nigeria</v>
      </c>
      <c r="T35" s="108">
        <f t="shared" si="2"/>
        <v>-11</v>
      </c>
      <c r="U35" s="108">
        <v>18</v>
      </c>
      <c r="V35" s="4"/>
      <c r="W35" s="4"/>
      <c r="X35" s="4"/>
      <c r="Y35" s="4"/>
      <c r="Z35" s="4"/>
      <c r="AA35" s="4"/>
    </row>
    <row r="36" spans="6:27" x14ac:dyDescent="0.25">
      <c r="F36" s="86" t="str">
        <f t="shared" si="0"/>
        <v>Tunisia</v>
      </c>
      <c r="G36" s="98">
        <v>0</v>
      </c>
      <c r="H36" s="98">
        <v>0</v>
      </c>
      <c r="I36" s="98">
        <v>4</v>
      </c>
      <c r="J36" s="75"/>
      <c r="O36" s="108" t="s">
        <v>2148</v>
      </c>
      <c r="P36" s="108">
        <v>18</v>
      </c>
      <c r="R36" s="108" t="s">
        <v>2166</v>
      </c>
      <c r="S36" s="108" t="str">
        <f t="shared" si="1"/>
        <v>Panama</v>
      </c>
      <c r="T36" s="108">
        <f t="shared" si="2"/>
        <v>-5</v>
      </c>
      <c r="U36" s="108">
        <v>19</v>
      </c>
      <c r="V36" s="4"/>
      <c r="W36" s="4"/>
      <c r="X36" s="4"/>
      <c r="Y36" s="4"/>
      <c r="Z36" s="4"/>
      <c r="AA36" s="4"/>
    </row>
    <row r="37" spans="6:27" x14ac:dyDescent="0.25">
      <c r="F37" s="86" t="str">
        <f t="shared" si="0"/>
        <v>Uruguay</v>
      </c>
      <c r="G37" s="99">
        <v>0</v>
      </c>
      <c r="H37" s="99">
        <v>0</v>
      </c>
      <c r="I37" s="99">
        <v>1</v>
      </c>
      <c r="J37" s="75"/>
      <c r="O37" s="108" t="s">
        <v>2149</v>
      </c>
      <c r="P37" s="108">
        <v>19</v>
      </c>
      <c r="R37" s="108" t="s">
        <v>2161</v>
      </c>
      <c r="S37" s="108" t="str">
        <f t="shared" si="1"/>
        <v>Peru</v>
      </c>
      <c r="T37" s="108">
        <f t="shared" si="2"/>
        <v>-3</v>
      </c>
      <c r="U37" s="108">
        <v>20</v>
      </c>
      <c r="V37" s="4"/>
      <c r="W37" s="4"/>
      <c r="X37" s="4"/>
      <c r="Y37" s="4"/>
      <c r="Z37" s="4"/>
      <c r="AA37" s="4"/>
    </row>
    <row r="38" spans="6:27" x14ac:dyDescent="0.25">
      <c r="F38" s="82"/>
      <c r="G38" s="83"/>
      <c r="H38" s="83"/>
      <c r="I38" s="83"/>
      <c r="J38" s="84"/>
      <c r="O38" s="108" t="s">
        <v>2150</v>
      </c>
      <c r="P38" s="108">
        <v>20</v>
      </c>
      <c r="R38" s="108" t="s">
        <v>2168</v>
      </c>
      <c r="S38" s="108" t="str">
        <f t="shared" si="1"/>
        <v>Poland</v>
      </c>
      <c r="T38" s="108">
        <f t="shared" si="2"/>
        <v>-6</v>
      </c>
      <c r="U38" s="108">
        <v>21</v>
      </c>
      <c r="V38" s="4"/>
      <c r="W38" s="4"/>
      <c r="X38" s="4"/>
      <c r="Y38" s="4"/>
      <c r="Z38" s="4"/>
      <c r="AA38" s="4"/>
    </row>
    <row r="39" spans="6:27" x14ac:dyDescent="0.25">
      <c r="O39" s="108" t="s">
        <v>2151</v>
      </c>
      <c r="P39" s="108">
        <v>21</v>
      </c>
      <c r="R39" s="108" t="s">
        <v>1513</v>
      </c>
      <c r="S39" s="108" t="str">
        <f t="shared" si="1"/>
        <v>Portugal</v>
      </c>
      <c r="T39" s="108">
        <f t="shared" si="2"/>
        <v>-6</v>
      </c>
      <c r="U39" s="108">
        <v>22</v>
      </c>
      <c r="V39" s="4"/>
      <c r="W39" s="4"/>
      <c r="X39" s="4"/>
      <c r="Y39" s="4"/>
      <c r="Z39" s="4"/>
      <c r="AA39" s="4"/>
    </row>
    <row r="40" spans="6:27" x14ac:dyDescent="0.25">
      <c r="O40" s="108" t="s">
        <v>2152</v>
      </c>
      <c r="P40" s="108">
        <v>22</v>
      </c>
      <c r="R40" s="108" t="s">
        <v>1262</v>
      </c>
      <c r="S40" s="108" t="str">
        <f t="shared" si="1"/>
        <v>Russia</v>
      </c>
      <c r="T40" s="108">
        <f t="shared" si="2"/>
        <v>-1</v>
      </c>
      <c r="U40" s="108">
        <v>23</v>
      </c>
      <c r="V40" s="4"/>
      <c r="W40" s="4"/>
      <c r="X40" s="4"/>
      <c r="Y40" s="4"/>
      <c r="Z40" s="4"/>
      <c r="AA40" s="4"/>
    </row>
    <row r="41" spans="6:27" x14ac:dyDescent="0.25">
      <c r="O41" s="108" t="s">
        <v>2153</v>
      </c>
      <c r="P41" s="108">
        <v>23</v>
      </c>
      <c r="R41" s="108" t="s">
        <v>2158</v>
      </c>
      <c r="S41" s="108" t="str">
        <f t="shared" si="1"/>
        <v>Saudi Arabia</v>
      </c>
      <c r="T41" s="108">
        <f t="shared" si="2"/>
        <v>-6</v>
      </c>
      <c r="U41" s="108">
        <v>24</v>
      </c>
      <c r="V41" s="4"/>
      <c r="W41" s="4"/>
      <c r="X41" s="4"/>
      <c r="Y41" s="4"/>
      <c r="Z41" s="4"/>
      <c r="AA41" s="4"/>
    </row>
    <row r="42" spans="6:27" x14ac:dyDescent="0.25">
      <c r="R42" s="108" t="s">
        <v>2169</v>
      </c>
      <c r="S42" s="108" t="str">
        <f t="shared" si="1"/>
        <v>Senegal</v>
      </c>
      <c r="T42" s="108">
        <f t="shared" si="2"/>
        <v>-9</v>
      </c>
      <c r="U42" s="108">
        <v>25</v>
      </c>
      <c r="V42" s="4"/>
      <c r="W42" s="4"/>
      <c r="X42" s="4"/>
      <c r="Y42" s="4"/>
      <c r="Z42" s="4"/>
      <c r="AA42" s="4"/>
    </row>
    <row r="43" spans="6:27" x14ac:dyDescent="0.25">
      <c r="O43" s="108" t="s">
        <v>2128</v>
      </c>
      <c r="P43" s="108">
        <v>0</v>
      </c>
      <c r="R43" s="108" t="s">
        <v>2164</v>
      </c>
      <c r="S43" s="108" t="str">
        <f t="shared" si="1"/>
        <v>Serbia</v>
      </c>
      <c r="T43" s="108">
        <f t="shared" si="2"/>
        <v>-10</v>
      </c>
      <c r="U43" s="108">
        <v>26</v>
      </c>
      <c r="V43" s="4"/>
      <c r="W43" s="4"/>
      <c r="X43" s="4"/>
      <c r="Y43" s="4"/>
      <c r="Z43" s="4"/>
      <c r="AA43" s="4"/>
    </row>
    <row r="44" spans="6:27" x14ac:dyDescent="0.25">
      <c r="O44" s="108" t="s">
        <v>2154</v>
      </c>
      <c r="P44" s="108">
        <v>15</v>
      </c>
      <c r="R44" s="108" t="s">
        <v>1538</v>
      </c>
      <c r="S44" s="108" t="str">
        <f t="shared" si="1"/>
        <v>Spain</v>
      </c>
      <c r="T44" s="108">
        <f t="shared" si="2"/>
        <v>-1</v>
      </c>
      <c r="U44" s="108">
        <v>27</v>
      </c>
      <c r="V44" s="4"/>
      <c r="W44" s="4"/>
      <c r="X44" s="4"/>
      <c r="Y44" s="4"/>
      <c r="Z44" s="4"/>
      <c r="AA44" s="4"/>
    </row>
    <row r="45" spans="6:27" x14ac:dyDescent="0.25">
      <c r="O45" s="108" t="s">
        <v>2155</v>
      </c>
      <c r="P45" s="108">
        <v>30</v>
      </c>
      <c r="R45" s="108" t="s">
        <v>2165</v>
      </c>
      <c r="S45" s="108" t="str">
        <f t="shared" si="1"/>
        <v>Sweden</v>
      </c>
      <c r="T45" s="108">
        <f t="shared" si="2"/>
        <v>-5</v>
      </c>
      <c r="U45" s="108">
        <v>28</v>
      </c>
      <c r="V45" s="4"/>
      <c r="W45" s="4"/>
      <c r="X45" s="4"/>
      <c r="Y45" s="4"/>
      <c r="Z45" s="4"/>
      <c r="AA45" s="4"/>
    </row>
    <row r="46" spans="6:27" x14ac:dyDescent="0.25">
      <c r="O46" s="108" t="s">
        <v>2156</v>
      </c>
      <c r="P46" s="108">
        <v>45</v>
      </c>
      <c r="R46" s="108" t="s">
        <v>1574</v>
      </c>
      <c r="S46" s="108" t="str">
        <f t="shared" si="1"/>
        <v>Switzerland</v>
      </c>
      <c r="T46" s="108">
        <f t="shared" si="2"/>
        <v>-7</v>
      </c>
      <c r="U46" s="108">
        <v>29</v>
      </c>
      <c r="V46" s="4"/>
      <c r="W46" s="4"/>
      <c r="X46" s="4"/>
      <c r="Y46" s="4"/>
      <c r="Z46" s="4"/>
      <c r="AA46" s="4"/>
    </row>
    <row r="47" spans="6:27" x14ac:dyDescent="0.25">
      <c r="R47" s="108" t="s">
        <v>2167</v>
      </c>
      <c r="S47" s="108" t="str">
        <f t="shared" si="1"/>
        <v>Tunisia</v>
      </c>
      <c r="T47" s="108">
        <f t="shared" si="2"/>
        <v>-4</v>
      </c>
      <c r="U47" s="108">
        <v>30</v>
      </c>
      <c r="V47" s="4"/>
      <c r="W47" s="4"/>
      <c r="X47" s="4"/>
      <c r="Y47" s="4"/>
      <c r="Z47" s="4"/>
      <c r="AA47" s="4"/>
    </row>
    <row r="48" spans="6:27" x14ac:dyDescent="0.25">
      <c r="O48" s="108" t="s">
        <v>2157</v>
      </c>
      <c r="P48" s="108">
        <f>IF(M4="Type 2",0,1)</f>
        <v>1</v>
      </c>
      <c r="R48" s="108" t="s">
        <v>1100</v>
      </c>
      <c r="S48" s="108" t="str">
        <f t="shared" si="1"/>
        <v>Uruguay</v>
      </c>
      <c r="T48" s="108">
        <f t="shared" si="2"/>
        <v>-1</v>
      </c>
      <c r="U48" s="108">
        <v>31</v>
      </c>
      <c r="V48" s="4"/>
      <c r="W48" s="4"/>
      <c r="X48" s="4"/>
      <c r="Y48" s="4"/>
      <c r="Z48" s="4"/>
      <c r="AA48" s="4"/>
    </row>
    <row r="49" spans="6:27" x14ac:dyDescent="0.25">
      <c r="V49" s="4"/>
      <c r="W49" s="4"/>
      <c r="X49" s="4"/>
      <c r="Y49" s="4"/>
      <c r="Z49" s="4"/>
      <c r="AA49" s="4"/>
    </row>
    <row r="50" spans="6:27" x14ac:dyDescent="0.25">
      <c r="V50" s="4"/>
      <c r="W50" s="4"/>
      <c r="X50" s="4"/>
      <c r="Y50" s="4"/>
      <c r="Z50" s="4"/>
      <c r="AA50" s="4"/>
    </row>
    <row r="51" spans="6:27" x14ac:dyDescent="0.25">
      <c r="F51" s="4"/>
      <c r="G51" s="4"/>
      <c r="H51" s="4"/>
      <c r="I51" s="4"/>
      <c r="J51" s="4"/>
      <c r="K51" s="4"/>
      <c r="L51" s="4"/>
      <c r="M51" s="4"/>
      <c r="N51" s="4"/>
      <c r="V51" s="4"/>
      <c r="W51" s="4"/>
      <c r="X51" s="4"/>
      <c r="Y51" s="4"/>
      <c r="Z51" s="4"/>
      <c r="AA51" s="4"/>
    </row>
    <row r="52" spans="6:27" x14ac:dyDescent="0.25">
      <c r="F52" s="4"/>
      <c r="G52" s="4"/>
      <c r="H52" s="4"/>
      <c r="I52" s="4"/>
      <c r="J52" s="4"/>
      <c r="K52" s="4"/>
      <c r="L52" s="4"/>
      <c r="M52" s="4"/>
      <c r="N52" s="4"/>
      <c r="V52" s="4"/>
      <c r="W52" s="4"/>
      <c r="X52" s="4"/>
      <c r="Y52" s="4"/>
      <c r="Z52" s="4"/>
      <c r="AA52" s="4"/>
    </row>
    <row r="53" spans="6:27" x14ac:dyDescent="0.25">
      <c r="F53" s="4"/>
      <c r="G53" s="4"/>
      <c r="H53" s="4"/>
      <c r="I53" s="4"/>
      <c r="J53" s="4"/>
      <c r="K53" s="4"/>
      <c r="L53" s="4"/>
      <c r="M53" s="4"/>
      <c r="N53" s="4"/>
      <c r="V53" s="4"/>
      <c r="W53" s="4"/>
      <c r="X53" s="4"/>
      <c r="Y53" s="4"/>
      <c r="Z53" s="4"/>
      <c r="AA53" s="4"/>
    </row>
    <row r="54" spans="6:27" x14ac:dyDescent="0.25">
      <c r="F54" s="4"/>
      <c r="G54" s="4"/>
      <c r="H54" s="4"/>
      <c r="I54" s="4"/>
      <c r="J54" s="4"/>
      <c r="K54" s="4"/>
      <c r="L54" s="4"/>
      <c r="M54" s="4"/>
      <c r="N54" s="4"/>
      <c r="V54" s="4"/>
      <c r="W54" s="4"/>
      <c r="X54" s="4"/>
      <c r="Y54" s="4"/>
      <c r="Z54" s="4"/>
      <c r="AA54" s="4"/>
    </row>
    <row r="55" spans="6:27" x14ac:dyDescent="0.25">
      <c r="F55" s="4"/>
      <c r="G55" s="4"/>
      <c r="H55" s="4"/>
      <c r="I55" s="4"/>
      <c r="J55" s="4"/>
      <c r="K55" s="4"/>
      <c r="L55" s="4"/>
      <c r="M55" s="4"/>
      <c r="N55" s="4"/>
      <c r="V55" s="4"/>
      <c r="W55" s="4"/>
      <c r="X55" s="4"/>
      <c r="Y55" s="4"/>
      <c r="Z55" s="4"/>
      <c r="AA55" s="4"/>
    </row>
    <row r="56" spans="6:27" x14ac:dyDescent="0.25">
      <c r="F56" s="4"/>
      <c r="G56" s="4"/>
      <c r="H56" s="4"/>
      <c r="I56" s="4"/>
      <c r="J56" s="4"/>
      <c r="K56" s="4"/>
      <c r="L56" s="4"/>
      <c r="M56" s="4"/>
      <c r="N56" s="4"/>
      <c r="V56" s="4"/>
      <c r="W56" s="4"/>
      <c r="X56" s="4"/>
      <c r="Y56" s="4"/>
      <c r="Z56" s="4"/>
      <c r="AA56" s="4"/>
    </row>
    <row r="57" spans="6:27" x14ac:dyDescent="0.25">
      <c r="F57" s="4"/>
      <c r="G57" s="4"/>
      <c r="H57" s="4"/>
      <c r="I57" s="4"/>
      <c r="J57" s="4"/>
      <c r="K57" s="4"/>
      <c r="L57" s="4"/>
      <c r="M57" s="4"/>
      <c r="N57" s="4"/>
      <c r="V57" s="4"/>
      <c r="W57" s="4"/>
      <c r="X57" s="4"/>
      <c r="Y57" s="4"/>
      <c r="Z57" s="4"/>
      <c r="AA57" s="4"/>
    </row>
    <row r="58" spans="6:27" x14ac:dyDescent="0.25">
      <c r="F58" s="4"/>
      <c r="G58" s="4"/>
      <c r="H58" s="4"/>
      <c r="I58" s="4"/>
      <c r="J58" s="4"/>
      <c r="K58" s="4"/>
      <c r="L58" s="4"/>
      <c r="M58" s="4"/>
      <c r="N58" s="4"/>
      <c r="V58" s="4"/>
      <c r="W58" s="4"/>
      <c r="X58" s="4"/>
      <c r="Y58" s="4"/>
      <c r="Z58" s="4"/>
      <c r="AA58" s="4"/>
    </row>
    <row r="59" spans="6:27" x14ac:dyDescent="0.25">
      <c r="F59" s="4"/>
      <c r="G59" s="4"/>
      <c r="H59" s="4"/>
      <c r="I59" s="4"/>
      <c r="J59" s="4"/>
      <c r="K59" s="4"/>
      <c r="L59" s="4"/>
      <c r="M59" s="4"/>
      <c r="N59" s="4"/>
      <c r="V59" s="4"/>
      <c r="W59" s="4"/>
      <c r="X59" s="4"/>
      <c r="Y59" s="4"/>
      <c r="Z59" s="4"/>
      <c r="AA59" s="4"/>
    </row>
    <row r="60" spans="6:27" x14ac:dyDescent="0.25">
      <c r="F60" s="4"/>
      <c r="G60" s="4"/>
      <c r="H60" s="4"/>
      <c r="I60" s="4"/>
      <c r="J60" s="4"/>
      <c r="K60" s="4"/>
      <c r="L60" s="4"/>
      <c r="M60" s="4"/>
      <c r="N60" s="4"/>
      <c r="V60" s="4"/>
      <c r="W60" s="4"/>
      <c r="X60" s="4"/>
      <c r="Y60" s="4"/>
      <c r="Z60" s="4"/>
      <c r="AA60" s="4"/>
    </row>
    <row r="61" spans="6:27" x14ac:dyDescent="0.25">
      <c r="F61" s="4"/>
      <c r="G61" s="4"/>
      <c r="H61" s="4"/>
      <c r="I61" s="4"/>
      <c r="J61" s="4"/>
      <c r="K61" s="4"/>
      <c r="L61" s="4"/>
      <c r="M61" s="4"/>
      <c r="N61" s="4"/>
      <c r="V61" s="4"/>
      <c r="W61" s="4"/>
      <c r="X61" s="4"/>
      <c r="Y61" s="4"/>
      <c r="Z61" s="4"/>
      <c r="AA61" s="4"/>
    </row>
    <row r="62" spans="6:27" x14ac:dyDescent="0.25">
      <c r="F62" s="4"/>
      <c r="G62" s="4"/>
      <c r="H62" s="4"/>
      <c r="I62" s="4"/>
      <c r="J62" s="4"/>
      <c r="K62" s="4"/>
      <c r="L62" s="4"/>
      <c r="M62" s="4"/>
      <c r="N62" s="4"/>
      <c r="V62" s="4"/>
      <c r="W62" s="4"/>
      <c r="X62" s="4"/>
      <c r="Y62" s="4"/>
      <c r="Z62" s="4"/>
      <c r="AA62" s="4"/>
    </row>
    <row r="63" spans="6:27" x14ac:dyDescent="0.25">
      <c r="F63" s="4"/>
      <c r="G63" s="4"/>
      <c r="H63" s="4"/>
      <c r="I63" s="4"/>
      <c r="J63" s="4"/>
      <c r="K63" s="4"/>
      <c r="L63" s="4"/>
      <c r="M63" s="4"/>
      <c r="N63" s="4"/>
      <c r="V63" s="4"/>
      <c r="W63" s="4"/>
      <c r="X63" s="4"/>
      <c r="Y63" s="4"/>
      <c r="Z63" s="4"/>
      <c r="AA63" s="4"/>
    </row>
    <row r="64" spans="6:27" x14ac:dyDescent="0.25">
      <c r="F64" s="4"/>
      <c r="G64" s="4"/>
      <c r="H64" s="4"/>
      <c r="I64" s="4"/>
      <c r="J64" s="4"/>
      <c r="K64" s="4"/>
      <c r="L64" s="4"/>
      <c r="M64" s="4"/>
      <c r="N64" s="4"/>
      <c r="V64" s="4"/>
      <c r="W64" s="4"/>
      <c r="X64" s="4"/>
      <c r="Y64" s="4"/>
      <c r="Z64" s="4"/>
      <c r="AA64" s="4"/>
    </row>
    <row r="65" spans="6:27" x14ac:dyDescent="0.25">
      <c r="F65" s="4"/>
      <c r="G65" s="4"/>
      <c r="H65" s="4"/>
      <c r="I65" s="4"/>
      <c r="J65" s="4"/>
      <c r="K65" s="4"/>
      <c r="L65" s="4"/>
      <c r="M65" s="4"/>
      <c r="N65" s="4"/>
      <c r="V65" s="4"/>
      <c r="W65" s="4"/>
      <c r="X65" s="4"/>
      <c r="Y65" s="4"/>
      <c r="Z65" s="4"/>
      <c r="AA65" s="4"/>
    </row>
    <row r="66" spans="6:27" x14ac:dyDescent="0.25">
      <c r="F66" s="4"/>
      <c r="G66" s="4"/>
      <c r="H66" s="4"/>
      <c r="I66" s="4"/>
      <c r="J66" s="4"/>
      <c r="K66" s="4"/>
      <c r="L66" s="4"/>
      <c r="M66" s="4"/>
      <c r="N66" s="4"/>
      <c r="V66" s="4"/>
      <c r="W66" s="4"/>
      <c r="X66" s="4"/>
      <c r="Y66" s="4"/>
      <c r="Z66" s="4"/>
      <c r="AA66" s="4"/>
    </row>
    <row r="67" spans="6:27" x14ac:dyDescent="0.25">
      <c r="F67" s="4"/>
      <c r="G67" s="4"/>
      <c r="H67" s="4"/>
      <c r="I67" s="4"/>
      <c r="J67" s="4"/>
      <c r="K67" s="4"/>
      <c r="L67" s="4"/>
      <c r="M67" s="4"/>
      <c r="N67" s="4"/>
      <c r="V67" s="4"/>
      <c r="W67" s="4"/>
      <c r="X67" s="4"/>
      <c r="Y67" s="4"/>
      <c r="Z67" s="4"/>
      <c r="AA67" s="4"/>
    </row>
    <row r="68" spans="6:27" x14ac:dyDescent="0.25">
      <c r="F68" s="4"/>
      <c r="G68" s="4"/>
      <c r="H68" s="4"/>
      <c r="I68" s="4"/>
      <c r="J68" s="4"/>
      <c r="K68" s="4"/>
      <c r="L68" s="4"/>
      <c r="M68" s="4"/>
      <c r="N68" s="4"/>
      <c r="V68" s="4"/>
      <c r="W68" s="4"/>
      <c r="X68" s="4"/>
      <c r="Y68" s="4"/>
      <c r="Z68" s="4"/>
      <c r="AA68" s="4"/>
    </row>
    <row r="69" spans="6:27" x14ac:dyDescent="0.25">
      <c r="F69" s="4"/>
      <c r="G69" s="4"/>
      <c r="H69" s="4"/>
      <c r="I69" s="4"/>
      <c r="J69" s="4"/>
      <c r="K69" s="4"/>
      <c r="L69" s="4"/>
      <c r="M69" s="4"/>
      <c r="N69" s="4"/>
      <c r="V69" s="4"/>
      <c r="W69" s="4"/>
      <c r="X69" s="4"/>
      <c r="Y69" s="4"/>
      <c r="Z69" s="4"/>
      <c r="AA69" s="4"/>
    </row>
    <row r="70" spans="6:27" x14ac:dyDescent="0.25">
      <c r="F70" s="4"/>
      <c r="G70" s="4"/>
      <c r="H70" s="4"/>
      <c r="I70" s="4"/>
      <c r="J70" s="4"/>
      <c r="K70" s="4"/>
      <c r="L70" s="4"/>
      <c r="M70" s="4"/>
      <c r="N70" s="4"/>
      <c r="V70" s="4"/>
      <c r="W70" s="4"/>
      <c r="X70" s="4"/>
      <c r="Y70" s="4"/>
      <c r="Z70" s="4"/>
      <c r="AA70" s="4"/>
    </row>
    <row r="71" spans="6:27" x14ac:dyDescent="0.25">
      <c r="F71" s="4"/>
      <c r="G71" s="4"/>
      <c r="H71" s="4"/>
      <c r="I71" s="4"/>
      <c r="J71" s="4"/>
      <c r="K71" s="4"/>
      <c r="L71" s="4"/>
      <c r="M71" s="4"/>
      <c r="N71" s="4"/>
      <c r="V71" s="4"/>
      <c r="W71" s="4"/>
      <c r="X71" s="4"/>
      <c r="Y71" s="4"/>
      <c r="Z71" s="4"/>
      <c r="AA71" s="4"/>
    </row>
    <row r="72" spans="6:27" x14ac:dyDescent="0.25">
      <c r="F72" s="4"/>
      <c r="G72" s="4"/>
      <c r="H72" s="4"/>
      <c r="I72" s="4"/>
      <c r="J72" s="4"/>
      <c r="K72" s="4"/>
      <c r="L72" s="4"/>
      <c r="M72" s="4"/>
      <c r="N72" s="4"/>
      <c r="V72" s="4"/>
      <c r="W72" s="4"/>
      <c r="X72" s="4"/>
      <c r="Y72" s="4"/>
      <c r="Z72" s="4"/>
      <c r="AA72" s="4"/>
    </row>
    <row r="73" spans="6:27" x14ac:dyDescent="0.25">
      <c r="F73" s="4"/>
      <c r="G73" s="4"/>
      <c r="H73" s="4"/>
      <c r="I73" s="4"/>
      <c r="J73" s="4"/>
      <c r="K73" s="4"/>
      <c r="L73" s="4"/>
      <c r="M73" s="4"/>
      <c r="N73" s="4"/>
      <c r="V73" s="4"/>
      <c r="W73" s="4"/>
      <c r="X73" s="4"/>
      <c r="Y73" s="4"/>
      <c r="Z73" s="4"/>
      <c r="AA73" s="4"/>
    </row>
    <row r="74" spans="6:27" x14ac:dyDescent="0.25">
      <c r="F74" s="4"/>
      <c r="G74" s="4"/>
      <c r="H74" s="4"/>
      <c r="I74" s="4"/>
      <c r="J74" s="4"/>
      <c r="K74" s="4"/>
      <c r="L74" s="4"/>
      <c r="M74" s="4"/>
      <c r="N74" s="4"/>
      <c r="V74" s="4"/>
      <c r="W74" s="4"/>
      <c r="X74" s="4"/>
      <c r="Y74" s="4"/>
      <c r="Z74" s="4"/>
      <c r="AA74" s="4"/>
    </row>
    <row r="75" spans="6:27" x14ac:dyDescent="0.25">
      <c r="F75" s="4"/>
      <c r="G75" s="4"/>
      <c r="H75" s="4"/>
      <c r="I75" s="4"/>
      <c r="J75" s="4"/>
      <c r="K75" s="4"/>
      <c r="L75" s="4"/>
      <c r="M75" s="4"/>
      <c r="N75" s="4"/>
      <c r="V75" s="4"/>
      <c r="W75" s="4"/>
      <c r="X75" s="4"/>
      <c r="Y75" s="4"/>
      <c r="Z75" s="4"/>
      <c r="AA75" s="4"/>
    </row>
    <row r="76" spans="6:27" x14ac:dyDescent="0.25">
      <c r="F76" s="4"/>
      <c r="G76" s="4"/>
      <c r="H76" s="4"/>
      <c r="I76" s="4"/>
      <c r="J76" s="4"/>
      <c r="K76" s="4"/>
      <c r="L76" s="4"/>
      <c r="M76" s="4"/>
      <c r="N76" s="4"/>
      <c r="V76" s="4"/>
      <c r="W76" s="4"/>
      <c r="X76" s="4"/>
      <c r="Y76" s="4"/>
      <c r="Z76" s="4"/>
      <c r="AA76" s="4"/>
    </row>
    <row r="77" spans="6:27" x14ac:dyDescent="0.25">
      <c r="F77" s="4"/>
      <c r="G77" s="4"/>
      <c r="H77" s="4"/>
      <c r="I77" s="4"/>
      <c r="J77" s="4"/>
      <c r="K77" s="4"/>
      <c r="L77" s="4"/>
      <c r="M77" s="4"/>
      <c r="N77" s="4"/>
      <c r="V77" s="4"/>
      <c r="W77" s="4"/>
      <c r="X77" s="4"/>
      <c r="Y77" s="4"/>
      <c r="Z77" s="4"/>
      <c r="AA77" s="4"/>
    </row>
    <row r="78" spans="6:27" x14ac:dyDescent="0.25">
      <c r="F78" s="4"/>
      <c r="G78" s="4"/>
      <c r="H78" s="4"/>
      <c r="I78" s="4"/>
      <c r="J78" s="4"/>
      <c r="K78" s="4"/>
      <c r="L78" s="4"/>
      <c r="M78" s="4"/>
      <c r="N78" s="4"/>
      <c r="V78" s="4"/>
      <c r="W78" s="4"/>
      <c r="X78" s="4"/>
      <c r="Y78" s="4"/>
      <c r="Z78" s="4"/>
      <c r="AA78" s="4"/>
    </row>
    <row r="79" spans="6:27" x14ac:dyDescent="0.25">
      <c r="F79" s="4"/>
      <c r="G79" s="4"/>
      <c r="H79" s="4"/>
      <c r="I79" s="4"/>
      <c r="J79" s="4"/>
      <c r="K79" s="4"/>
      <c r="L79" s="4"/>
      <c r="M79" s="4"/>
      <c r="N79" s="4"/>
      <c r="V79" s="4"/>
      <c r="W79" s="4"/>
      <c r="X79" s="4"/>
      <c r="Y79" s="4"/>
      <c r="Z79" s="4"/>
      <c r="AA79" s="4"/>
    </row>
    <row r="80" spans="6:27" x14ac:dyDescent="0.25">
      <c r="F80" s="4"/>
      <c r="G80" s="4"/>
      <c r="H80" s="4"/>
      <c r="I80" s="4"/>
      <c r="J80" s="4"/>
      <c r="K80" s="4"/>
      <c r="L80" s="4"/>
      <c r="M80" s="4"/>
      <c r="N80" s="4"/>
      <c r="V80" s="4"/>
      <c r="W80" s="4"/>
      <c r="X80" s="4"/>
      <c r="Y80" s="4"/>
      <c r="Z80" s="4"/>
      <c r="AA80" s="4"/>
    </row>
    <row r="81" spans="6:27" x14ac:dyDescent="0.25">
      <c r="F81" s="4"/>
      <c r="G81" s="4"/>
      <c r="H81" s="4"/>
      <c r="I81" s="4"/>
      <c r="J81" s="4"/>
      <c r="K81" s="4"/>
      <c r="L81" s="4"/>
      <c r="M81" s="4"/>
      <c r="N81" s="4"/>
      <c r="V81" s="4"/>
      <c r="W81" s="4"/>
      <c r="X81" s="4"/>
      <c r="Y81" s="4"/>
      <c r="Z81" s="4"/>
      <c r="AA81" s="4"/>
    </row>
    <row r="82" spans="6:27" x14ac:dyDescent="0.25">
      <c r="F82" s="4"/>
      <c r="G82" s="4"/>
      <c r="H82" s="4"/>
      <c r="I82" s="4"/>
      <c r="J82" s="4"/>
      <c r="K82" s="4"/>
      <c r="L82" s="4"/>
      <c r="M82" s="4"/>
      <c r="N82" s="4"/>
      <c r="V82" s="4"/>
      <c r="W82" s="4"/>
      <c r="X82" s="4"/>
      <c r="Y82" s="4"/>
      <c r="Z82" s="4"/>
      <c r="AA82" s="4"/>
    </row>
    <row r="83" spans="6:27" x14ac:dyDescent="0.25">
      <c r="F83" s="4"/>
      <c r="G83" s="4"/>
      <c r="H83" s="4"/>
      <c r="I83" s="4"/>
      <c r="J83" s="4"/>
      <c r="K83" s="4"/>
      <c r="L83" s="4"/>
      <c r="M83" s="4"/>
      <c r="N83" s="4"/>
      <c r="V83" s="4"/>
      <c r="W83" s="4"/>
      <c r="X83" s="4"/>
      <c r="Y83" s="4"/>
      <c r="Z83" s="4"/>
      <c r="AA83" s="4"/>
    </row>
    <row r="84" spans="6:27" x14ac:dyDescent="0.25">
      <c r="F84" s="4"/>
      <c r="G84" s="4"/>
      <c r="H84" s="4"/>
      <c r="I84" s="4"/>
      <c r="J84" s="4"/>
      <c r="K84" s="4"/>
      <c r="L84" s="4"/>
      <c r="M84" s="4"/>
      <c r="N84" s="4"/>
      <c r="V84" s="4"/>
      <c r="W84" s="4"/>
      <c r="X84" s="4"/>
      <c r="Y84" s="4"/>
      <c r="Z84" s="4"/>
      <c r="AA84" s="4"/>
    </row>
    <row r="85" spans="6:27" x14ac:dyDescent="0.25">
      <c r="F85" s="4"/>
      <c r="G85" s="4"/>
      <c r="H85" s="4"/>
      <c r="I85" s="4"/>
      <c r="J85" s="4"/>
      <c r="K85" s="4"/>
      <c r="L85" s="4"/>
      <c r="M85" s="4"/>
      <c r="N85" s="4"/>
      <c r="V85" s="4"/>
      <c r="W85" s="4"/>
      <c r="X85" s="4"/>
      <c r="Y85" s="4"/>
      <c r="Z85" s="4"/>
      <c r="AA85" s="4"/>
    </row>
    <row r="86" spans="6:27" x14ac:dyDescent="0.25">
      <c r="F86" s="4"/>
      <c r="G86" s="4"/>
      <c r="H86" s="4"/>
      <c r="I86" s="4"/>
      <c r="J86" s="4"/>
      <c r="K86" s="4"/>
      <c r="L86" s="4"/>
      <c r="M86" s="4"/>
      <c r="N86" s="4"/>
      <c r="V86" s="4"/>
      <c r="W86" s="4"/>
      <c r="X86" s="4"/>
      <c r="Y86" s="4"/>
      <c r="Z86" s="4"/>
      <c r="AA86" s="4"/>
    </row>
    <row r="87" spans="6:27" x14ac:dyDescent="0.25">
      <c r="F87" s="4"/>
      <c r="G87" s="4"/>
      <c r="H87" s="4"/>
      <c r="I87" s="4"/>
      <c r="J87" s="4"/>
      <c r="K87" s="4"/>
      <c r="L87" s="4"/>
      <c r="M87" s="4"/>
      <c r="N87" s="4"/>
      <c r="V87" s="4"/>
      <c r="W87" s="4"/>
      <c r="X87" s="4"/>
      <c r="Y87" s="4"/>
      <c r="Z87" s="4"/>
      <c r="AA87" s="4"/>
    </row>
    <row r="88" spans="6:27" x14ac:dyDescent="0.25">
      <c r="F88" s="4"/>
      <c r="G88" s="4"/>
      <c r="H88" s="4"/>
      <c r="I88" s="4"/>
      <c r="J88" s="4"/>
      <c r="K88" s="4"/>
      <c r="L88" s="4"/>
      <c r="M88" s="4"/>
      <c r="N88" s="4"/>
      <c r="V88" s="4"/>
      <c r="W88" s="4"/>
      <c r="X88" s="4"/>
      <c r="Y88" s="4"/>
      <c r="Z88" s="4"/>
      <c r="AA88" s="4"/>
    </row>
    <row r="89" spans="6:27" x14ac:dyDescent="0.25">
      <c r="F89" s="4"/>
      <c r="G89" s="4"/>
      <c r="H89" s="4"/>
      <c r="I89" s="4"/>
      <c r="J89" s="4"/>
      <c r="K89" s="4"/>
      <c r="L89" s="4"/>
      <c r="M89" s="4"/>
      <c r="N89" s="4"/>
      <c r="V89" s="4"/>
      <c r="W89" s="4"/>
      <c r="X89" s="4"/>
      <c r="Y89" s="4"/>
      <c r="Z89" s="4"/>
      <c r="AA89" s="4"/>
    </row>
    <row r="90" spans="6:27" x14ac:dyDescent="0.25">
      <c r="F90" s="4"/>
      <c r="G90" s="4"/>
      <c r="H90" s="4"/>
      <c r="I90" s="4"/>
      <c r="J90" s="4"/>
      <c r="K90" s="4"/>
      <c r="L90" s="4"/>
      <c r="M90" s="4"/>
      <c r="N90" s="4"/>
      <c r="V90" s="4"/>
      <c r="W90" s="4"/>
      <c r="X90" s="4"/>
      <c r="Y90" s="4"/>
      <c r="Z90" s="4"/>
      <c r="AA90" s="4"/>
    </row>
    <row r="91" spans="6:27" x14ac:dyDescent="0.25">
      <c r="F91" s="4"/>
      <c r="G91" s="4"/>
      <c r="H91" s="4"/>
      <c r="I91" s="4"/>
      <c r="J91" s="4"/>
      <c r="K91" s="4"/>
      <c r="L91" s="4"/>
      <c r="M91" s="4"/>
      <c r="N91" s="4"/>
      <c r="V91" s="4"/>
      <c r="W91" s="4"/>
      <c r="X91" s="4"/>
      <c r="Y91" s="4"/>
      <c r="Z91" s="4"/>
      <c r="AA91" s="4"/>
    </row>
    <row r="92" spans="6:27" x14ac:dyDescent="0.25">
      <c r="F92" s="4"/>
      <c r="G92" s="4"/>
      <c r="H92" s="4"/>
      <c r="I92" s="4"/>
      <c r="J92" s="4"/>
      <c r="K92" s="4"/>
      <c r="L92" s="4"/>
      <c r="M92" s="4"/>
      <c r="N92" s="4"/>
      <c r="V92" s="4"/>
      <c r="W92" s="4"/>
      <c r="X92" s="4"/>
      <c r="Y92" s="4"/>
      <c r="Z92" s="4"/>
      <c r="AA92" s="4"/>
    </row>
    <row r="93" spans="6:27" x14ac:dyDescent="0.25">
      <c r="F93" s="4"/>
      <c r="G93" s="4"/>
      <c r="H93" s="4"/>
      <c r="I93" s="4"/>
      <c r="J93" s="4"/>
      <c r="K93" s="4"/>
      <c r="L93" s="4"/>
      <c r="M93" s="4"/>
      <c r="N93" s="4"/>
      <c r="V93" s="4"/>
      <c r="W93" s="4"/>
      <c r="X93" s="4"/>
      <c r="Y93" s="4"/>
      <c r="Z93" s="4"/>
      <c r="AA93" s="4"/>
    </row>
    <row r="94" spans="6:27" x14ac:dyDescent="0.25">
      <c r="F94" s="4"/>
      <c r="G94" s="4"/>
      <c r="H94" s="4"/>
      <c r="I94" s="4"/>
      <c r="J94" s="4"/>
      <c r="K94" s="4"/>
      <c r="L94" s="4"/>
      <c r="M94" s="4"/>
      <c r="N94" s="4"/>
      <c r="V94" s="4"/>
      <c r="W94" s="4"/>
      <c r="X94" s="4"/>
      <c r="Y94" s="4"/>
      <c r="Z94" s="4"/>
      <c r="AA94" s="4"/>
    </row>
    <row r="95" spans="6:27" x14ac:dyDescent="0.25">
      <c r="F95" s="4"/>
      <c r="G95" s="4"/>
      <c r="H95" s="4"/>
      <c r="I95" s="4"/>
      <c r="J95" s="4"/>
      <c r="K95" s="4"/>
      <c r="L95" s="4"/>
      <c r="M95" s="4"/>
      <c r="N95" s="4"/>
      <c r="V95" s="4"/>
      <c r="W95" s="4"/>
      <c r="X95" s="4"/>
      <c r="Y95" s="4"/>
      <c r="Z95" s="4"/>
      <c r="AA95" s="4"/>
    </row>
    <row r="96" spans="6:27" x14ac:dyDescent="0.25">
      <c r="F96" s="4"/>
      <c r="G96" s="4"/>
      <c r="H96" s="4"/>
      <c r="I96" s="4"/>
      <c r="J96" s="4"/>
      <c r="K96" s="4"/>
      <c r="L96" s="4"/>
      <c r="M96" s="4"/>
      <c r="N96" s="4"/>
      <c r="V96" s="4"/>
      <c r="W96" s="4"/>
      <c r="X96" s="4"/>
      <c r="Y96" s="4"/>
      <c r="Z96" s="4"/>
      <c r="AA96" s="4"/>
    </row>
    <row r="97" spans="6:27" x14ac:dyDescent="0.25">
      <c r="F97" s="4"/>
      <c r="G97" s="4"/>
      <c r="H97" s="4"/>
      <c r="I97" s="4"/>
      <c r="J97" s="4"/>
      <c r="K97" s="4"/>
      <c r="L97" s="4"/>
      <c r="M97" s="4"/>
      <c r="N97" s="4"/>
      <c r="V97" s="4"/>
      <c r="W97" s="4"/>
      <c r="X97" s="4"/>
      <c r="Y97" s="4"/>
      <c r="Z97" s="4"/>
      <c r="AA97" s="4"/>
    </row>
    <row r="98" spans="6:27" x14ac:dyDescent="0.25">
      <c r="F98" s="4"/>
      <c r="G98" s="4"/>
      <c r="H98" s="4"/>
      <c r="I98" s="4"/>
      <c r="J98" s="4"/>
      <c r="K98" s="4"/>
      <c r="L98" s="4"/>
      <c r="M98" s="4"/>
      <c r="N98" s="4"/>
      <c r="V98" s="4"/>
      <c r="W98" s="4"/>
      <c r="X98" s="4"/>
      <c r="Y98" s="4"/>
      <c r="Z98" s="4"/>
      <c r="AA98" s="4"/>
    </row>
    <row r="99" spans="6:27" x14ac:dyDescent="0.25">
      <c r="F99" s="4"/>
      <c r="G99" s="4"/>
      <c r="H99" s="4"/>
      <c r="I99" s="4"/>
      <c r="J99" s="4"/>
      <c r="K99" s="4"/>
      <c r="L99" s="4"/>
      <c r="M99" s="4"/>
      <c r="N99" s="4"/>
      <c r="V99" s="4"/>
      <c r="W99" s="4"/>
      <c r="X99" s="4"/>
      <c r="Y99" s="4"/>
      <c r="Z99" s="4"/>
      <c r="AA99" s="4"/>
    </row>
    <row r="100" spans="6:27" x14ac:dyDescent="0.25">
      <c r="F100" s="4"/>
      <c r="G100" s="4"/>
      <c r="H100" s="4"/>
      <c r="I100" s="4"/>
      <c r="J100" s="4"/>
      <c r="K100" s="4"/>
      <c r="L100" s="4"/>
      <c r="M100" s="4"/>
      <c r="N100" s="4"/>
      <c r="V100" s="4"/>
      <c r="W100" s="4"/>
      <c r="X100" s="4"/>
      <c r="Y100" s="4"/>
      <c r="Z100" s="4"/>
      <c r="AA100" s="4"/>
    </row>
    <row r="101" spans="6:27" x14ac:dyDescent="0.25">
      <c r="F101" s="4"/>
      <c r="G101" s="4"/>
      <c r="H101" s="4"/>
      <c r="I101" s="4"/>
      <c r="J101" s="4"/>
      <c r="K101" s="4"/>
      <c r="L101" s="4"/>
      <c r="M101" s="4"/>
      <c r="N101" s="4"/>
      <c r="V101" s="4"/>
      <c r="W101" s="4"/>
      <c r="X101" s="4"/>
      <c r="Y101" s="4"/>
      <c r="Z101" s="4"/>
      <c r="AA101" s="4"/>
    </row>
    <row r="102" spans="6:27" x14ac:dyDescent="0.25">
      <c r="F102" s="4"/>
      <c r="G102" s="4"/>
      <c r="H102" s="4"/>
      <c r="I102" s="4"/>
      <c r="J102" s="4"/>
      <c r="K102" s="4"/>
      <c r="L102" s="4"/>
      <c r="M102" s="4"/>
      <c r="N102" s="4"/>
      <c r="V102" s="4"/>
      <c r="W102" s="4"/>
      <c r="X102" s="4"/>
      <c r="Y102" s="4"/>
      <c r="Z102" s="4"/>
      <c r="AA102" s="4"/>
    </row>
    <row r="103" spans="6:27" x14ac:dyDescent="0.25">
      <c r="F103" s="4"/>
      <c r="G103" s="4"/>
      <c r="H103" s="4"/>
      <c r="I103" s="4"/>
      <c r="J103" s="4"/>
      <c r="K103" s="4"/>
      <c r="L103" s="4"/>
      <c r="M103" s="4"/>
      <c r="N103" s="4"/>
      <c r="V103" s="4"/>
      <c r="W103" s="4"/>
      <c r="X103" s="4"/>
      <c r="Y103" s="4"/>
      <c r="Z103" s="4"/>
      <c r="AA103" s="4"/>
    </row>
    <row r="104" spans="6:27" x14ac:dyDescent="0.25">
      <c r="F104" s="4"/>
      <c r="G104" s="4"/>
      <c r="H104" s="4"/>
      <c r="I104" s="4"/>
      <c r="J104" s="4"/>
      <c r="K104" s="4"/>
      <c r="L104" s="4"/>
      <c r="M104" s="4"/>
      <c r="N104" s="4"/>
      <c r="V104" s="4"/>
      <c r="W104" s="4"/>
      <c r="X104" s="4"/>
      <c r="Y104" s="4"/>
      <c r="Z104" s="4"/>
      <c r="AA104" s="4"/>
    </row>
    <row r="105" spans="6:27" x14ac:dyDescent="0.25">
      <c r="F105" s="4"/>
      <c r="G105" s="4"/>
      <c r="H105" s="4"/>
      <c r="I105" s="4"/>
      <c r="J105" s="4"/>
      <c r="K105" s="4"/>
      <c r="L105" s="4"/>
      <c r="M105" s="4"/>
      <c r="N105" s="4"/>
      <c r="V105" s="4"/>
      <c r="W105" s="4"/>
      <c r="X105" s="4"/>
      <c r="Y105" s="4"/>
      <c r="Z105" s="4"/>
      <c r="AA105" s="4"/>
    </row>
    <row r="106" spans="6:27" x14ac:dyDescent="0.25">
      <c r="F106" s="4"/>
      <c r="G106" s="4"/>
      <c r="H106" s="4"/>
      <c r="I106" s="4"/>
      <c r="J106" s="4"/>
      <c r="K106" s="4"/>
      <c r="L106" s="4"/>
      <c r="M106" s="4"/>
      <c r="N106" s="4"/>
      <c r="V106" s="4"/>
      <c r="W106" s="4"/>
      <c r="X106" s="4"/>
      <c r="Y106" s="4"/>
      <c r="Z106" s="4"/>
      <c r="AA106" s="4"/>
    </row>
    <row r="107" spans="6:27" x14ac:dyDescent="0.25">
      <c r="F107" s="4"/>
      <c r="G107" s="4"/>
      <c r="H107" s="4"/>
      <c r="I107" s="4"/>
      <c r="J107" s="4"/>
      <c r="K107" s="4"/>
      <c r="L107" s="4"/>
      <c r="M107" s="4"/>
      <c r="N107" s="4"/>
      <c r="V107" s="4"/>
      <c r="W107" s="4"/>
      <c r="X107" s="4"/>
      <c r="Y107" s="4"/>
      <c r="Z107" s="4"/>
      <c r="AA107" s="4"/>
    </row>
    <row r="108" spans="6:27" x14ac:dyDescent="0.25">
      <c r="F108" s="4"/>
      <c r="G108" s="4"/>
      <c r="H108" s="4"/>
      <c r="I108" s="4"/>
      <c r="J108" s="4"/>
      <c r="K108" s="4"/>
      <c r="L108" s="4"/>
      <c r="M108" s="4"/>
      <c r="N108" s="4"/>
      <c r="V108" s="4"/>
      <c r="W108" s="4"/>
      <c r="X108" s="4"/>
      <c r="Y108" s="4"/>
      <c r="Z108" s="4"/>
      <c r="AA108" s="4"/>
    </row>
    <row r="109" spans="6:27" x14ac:dyDescent="0.25">
      <c r="F109" s="4"/>
      <c r="G109" s="4"/>
      <c r="H109" s="4"/>
      <c r="I109" s="4"/>
      <c r="J109" s="4"/>
      <c r="K109" s="4"/>
      <c r="L109" s="4"/>
      <c r="M109" s="4"/>
      <c r="N109" s="4"/>
      <c r="V109" s="4"/>
      <c r="W109" s="4"/>
      <c r="X109" s="4"/>
      <c r="Y109" s="4"/>
      <c r="Z109" s="4"/>
      <c r="AA109" s="4"/>
    </row>
    <row r="110" spans="6:27" x14ac:dyDescent="0.25">
      <c r="F110" s="4"/>
      <c r="G110" s="4"/>
      <c r="H110" s="4"/>
      <c r="I110" s="4"/>
      <c r="J110" s="4"/>
      <c r="K110" s="4"/>
      <c r="L110" s="4"/>
      <c r="M110" s="4"/>
      <c r="N110" s="4"/>
      <c r="V110" s="4"/>
      <c r="W110" s="4"/>
      <c r="X110" s="4"/>
      <c r="Y110" s="4"/>
      <c r="Z110" s="4"/>
      <c r="AA110" s="4"/>
    </row>
    <row r="111" spans="6:27" x14ac:dyDescent="0.25">
      <c r="F111" s="4"/>
      <c r="G111" s="4"/>
      <c r="H111" s="4"/>
      <c r="I111" s="4"/>
      <c r="J111" s="4"/>
      <c r="K111" s="4"/>
      <c r="L111" s="4"/>
      <c r="M111" s="4"/>
      <c r="N111" s="4"/>
      <c r="V111" s="4"/>
      <c r="W111" s="4"/>
      <c r="X111" s="4"/>
      <c r="Y111" s="4"/>
      <c r="Z111" s="4"/>
      <c r="AA111" s="4"/>
    </row>
    <row r="112" spans="6:27" x14ac:dyDescent="0.25">
      <c r="F112" s="4"/>
      <c r="G112" s="4"/>
      <c r="H112" s="4"/>
      <c r="I112" s="4"/>
      <c r="J112" s="4"/>
      <c r="K112" s="4"/>
      <c r="L112" s="4"/>
      <c r="M112" s="4"/>
      <c r="N112" s="4"/>
      <c r="V112" s="4"/>
      <c r="W112" s="4"/>
      <c r="X112" s="4"/>
      <c r="Y112" s="4"/>
      <c r="Z112" s="4"/>
      <c r="AA112" s="4"/>
    </row>
    <row r="113" spans="6:27" x14ac:dyDescent="0.25">
      <c r="F113" s="4"/>
      <c r="G113" s="4"/>
      <c r="H113" s="4"/>
      <c r="I113" s="4"/>
      <c r="J113" s="4"/>
      <c r="K113" s="4"/>
      <c r="L113" s="4"/>
      <c r="M113" s="4"/>
      <c r="N113" s="4"/>
      <c r="V113" s="4"/>
      <c r="W113" s="4"/>
      <c r="X113" s="4"/>
      <c r="Y113" s="4"/>
      <c r="Z113" s="4"/>
      <c r="AA113" s="4"/>
    </row>
    <row r="114" spans="6:27" x14ac:dyDescent="0.25">
      <c r="F114" s="4"/>
      <c r="G114" s="4"/>
      <c r="H114" s="4"/>
      <c r="I114" s="4"/>
      <c r="J114" s="4"/>
      <c r="K114" s="4"/>
      <c r="L114" s="4"/>
      <c r="M114" s="4"/>
      <c r="N114" s="4"/>
      <c r="V114" s="4"/>
      <c r="W114" s="4"/>
      <c r="X114" s="4"/>
      <c r="Y114" s="4"/>
      <c r="Z114" s="4"/>
      <c r="AA114" s="4"/>
    </row>
    <row r="115" spans="6:27" x14ac:dyDescent="0.25">
      <c r="F115" s="4"/>
      <c r="G115" s="4"/>
      <c r="H115" s="4"/>
      <c r="I115" s="4"/>
      <c r="J115" s="4"/>
      <c r="K115" s="4"/>
      <c r="L115" s="4"/>
      <c r="M115" s="4"/>
      <c r="N115" s="4"/>
      <c r="V115" s="4"/>
      <c r="W115" s="4"/>
      <c r="X115" s="4"/>
      <c r="Y115" s="4"/>
      <c r="Z115" s="4"/>
      <c r="AA115" s="4"/>
    </row>
    <row r="116" spans="6:27" x14ac:dyDescent="0.25">
      <c r="F116" s="4"/>
      <c r="G116" s="4"/>
      <c r="H116" s="4"/>
      <c r="I116" s="4"/>
      <c r="J116" s="4"/>
      <c r="K116" s="4"/>
      <c r="L116" s="4"/>
      <c r="M116" s="4"/>
      <c r="N116" s="4"/>
      <c r="V116" s="4"/>
      <c r="W116" s="4"/>
      <c r="X116" s="4"/>
      <c r="Y116" s="4"/>
      <c r="Z116" s="4"/>
      <c r="AA116" s="4"/>
    </row>
    <row r="117" spans="6:27" x14ac:dyDescent="0.25">
      <c r="F117" s="4"/>
      <c r="G117" s="4"/>
      <c r="H117" s="4"/>
      <c r="I117" s="4"/>
      <c r="J117" s="4"/>
      <c r="K117" s="4"/>
      <c r="L117" s="4"/>
      <c r="M117" s="4"/>
      <c r="N117" s="4"/>
      <c r="V117" s="4"/>
      <c r="W117" s="4"/>
      <c r="X117" s="4"/>
      <c r="Y117" s="4"/>
      <c r="Z117" s="4"/>
      <c r="AA117" s="4"/>
    </row>
    <row r="118" spans="6:27" x14ac:dyDescent="0.25">
      <c r="F118" s="4"/>
      <c r="G118" s="4"/>
      <c r="H118" s="4"/>
      <c r="I118" s="4"/>
      <c r="J118" s="4"/>
      <c r="K118" s="4"/>
      <c r="L118" s="4"/>
      <c r="M118" s="4"/>
      <c r="N118" s="4"/>
      <c r="V118" s="4"/>
      <c r="W118" s="4"/>
      <c r="X118" s="4"/>
      <c r="Y118" s="4"/>
      <c r="Z118" s="4"/>
      <c r="AA118" s="4"/>
    </row>
    <row r="119" spans="6:27" x14ac:dyDescent="0.25">
      <c r="F119" s="4"/>
      <c r="G119" s="4"/>
      <c r="H119" s="4"/>
      <c r="I119" s="4"/>
      <c r="J119" s="4"/>
      <c r="K119" s="4"/>
      <c r="L119" s="4"/>
      <c r="M119" s="4"/>
      <c r="N119" s="4"/>
      <c r="V119" s="4"/>
      <c r="W119" s="4"/>
      <c r="X119" s="4"/>
      <c r="Y119" s="4"/>
      <c r="Z119" s="4"/>
      <c r="AA119" s="4"/>
    </row>
    <row r="120" spans="6:27" x14ac:dyDescent="0.25">
      <c r="F120" s="4"/>
      <c r="G120" s="4"/>
      <c r="H120" s="4"/>
      <c r="I120" s="4"/>
      <c r="J120" s="4"/>
      <c r="K120" s="4"/>
      <c r="L120" s="4"/>
      <c r="M120" s="4"/>
      <c r="N120" s="4"/>
      <c r="V120" s="4"/>
      <c r="W120" s="4"/>
      <c r="X120" s="4"/>
      <c r="Y120" s="4"/>
      <c r="Z120" s="4"/>
      <c r="AA120" s="4"/>
    </row>
    <row r="121" spans="6:27" x14ac:dyDescent="0.25">
      <c r="F121" s="4"/>
      <c r="G121" s="4"/>
      <c r="H121" s="4"/>
      <c r="I121" s="4"/>
      <c r="J121" s="4"/>
      <c r="K121" s="4"/>
      <c r="L121" s="4"/>
      <c r="M121" s="4"/>
      <c r="N121" s="4"/>
      <c r="V121" s="4"/>
      <c r="W121" s="4"/>
      <c r="X121" s="4"/>
      <c r="Y121" s="4"/>
      <c r="Z121" s="4"/>
      <c r="AA121" s="4"/>
    </row>
    <row r="122" spans="6:27" x14ac:dyDescent="0.25">
      <c r="F122" s="4"/>
      <c r="G122" s="4"/>
      <c r="H122" s="4"/>
      <c r="I122" s="4"/>
      <c r="J122" s="4"/>
      <c r="K122" s="4"/>
      <c r="L122" s="4"/>
      <c r="M122" s="4"/>
      <c r="N122" s="4"/>
      <c r="V122" s="4"/>
      <c r="W122" s="4"/>
      <c r="X122" s="4"/>
      <c r="Y122" s="4"/>
      <c r="Z122" s="4"/>
      <c r="AA122" s="4"/>
    </row>
    <row r="123" spans="6:27" x14ac:dyDescent="0.25">
      <c r="F123" s="4"/>
      <c r="G123" s="4"/>
      <c r="H123" s="4"/>
      <c r="I123" s="4"/>
      <c r="J123" s="4"/>
      <c r="K123" s="4"/>
      <c r="L123" s="4"/>
      <c r="M123" s="4"/>
      <c r="N123" s="4"/>
      <c r="V123" s="4"/>
      <c r="W123" s="4"/>
      <c r="X123" s="4"/>
      <c r="Y123" s="4"/>
      <c r="Z123" s="4"/>
      <c r="AA123" s="4"/>
    </row>
    <row r="124" spans="6:27" x14ac:dyDescent="0.25">
      <c r="F124" s="4"/>
      <c r="G124" s="4"/>
      <c r="H124" s="4"/>
      <c r="I124" s="4"/>
      <c r="J124" s="4"/>
      <c r="K124" s="4"/>
      <c r="L124" s="4"/>
      <c r="M124" s="4"/>
      <c r="N124" s="4"/>
      <c r="V124" s="4"/>
      <c r="W124" s="4"/>
      <c r="X124" s="4"/>
      <c r="Y124" s="4"/>
      <c r="Z124" s="4"/>
      <c r="AA124" s="4"/>
    </row>
    <row r="125" spans="6:27" x14ac:dyDescent="0.25">
      <c r="F125" s="4"/>
      <c r="G125" s="4"/>
      <c r="H125" s="4"/>
      <c r="I125" s="4"/>
      <c r="J125" s="4"/>
      <c r="K125" s="4"/>
      <c r="L125" s="4"/>
      <c r="M125" s="4"/>
      <c r="N125" s="4"/>
      <c r="V125" s="4"/>
      <c r="W125" s="4"/>
      <c r="X125" s="4"/>
      <c r="Y125" s="4"/>
      <c r="Z125" s="4"/>
      <c r="AA125" s="4"/>
    </row>
    <row r="126" spans="6:27" x14ac:dyDescent="0.25">
      <c r="F126" s="4"/>
      <c r="G126" s="4"/>
      <c r="H126" s="4"/>
      <c r="I126" s="4"/>
      <c r="J126" s="4"/>
      <c r="K126" s="4"/>
      <c r="L126" s="4"/>
      <c r="M126" s="4"/>
      <c r="N126" s="4"/>
      <c r="V126" s="4"/>
      <c r="W126" s="4"/>
      <c r="X126" s="4"/>
      <c r="Y126" s="4"/>
      <c r="Z126" s="4"/>
      <c r="AA126" s="4"/>
    </row>
    <row r="127" spans="6:27" x14ac:dyDescent="0.25">
      <c r="F127" s="4"/>
      <c r="G127" s="4"/>
      <c r="H127" s="4"/>
      <c r="I127" s="4"/>
      <c r="J127" s="4"/>
      <c r="K127" s="4"/>
      <c r="L127" s="4"/>
      <c r="M127" s="4"/>
      <c r="N127" s="4"/>
      <c r="V127" s="4"/>
      <c r="W127" s="4"/>
      <c r="X127" s="4"/>
      <c r="Y127" s="4"/>
      <c r="Z127" s="4"/>
      <c r="AA127" s="4"/>
    </row>
    <row r="128" spans="6:27" x14ac:dyDescent="0.25">
      <c r="F128" s="4"/>
      <c r="G128" s="4"/>
      <c r="H128" s="4"/>
      <c r="I128" s="4"/>
      <c r="J128" s="4"/>
      <c r="K128" s="4"/>
      <c r="L128" s="4"/>
      <c r="M128" s="4"/>
      <c r="N128" s="4"/>
      <c r="V128" s="4"/>
      <c r="W128" s="4"/>
      <c r="X128" s="4"/>
      <c r="Y128" s="4"/>
      <c r="Z128" s="4"/>
      <c r="AA128" s="4"/>
    </row>
    <row r="129" spans="6:27" x14ac:dyDescent="0.25">
      <c r="F129" s="4"/>
      <c r="G129" s="4"/>
      <c r="H129" s="4"/>
      <c r="I129" s="4"/>
      <c r="J129" s="4"/>
      <c r="K129" s="4"/>
      <c r="L129" s="4"/>
      <c r="M129" s="4"/>
      <c r="N129" s="4"/>
      <c r="V129" s="4"/>
      <c r="W129" s="4"/>
      <c r="X129" s="4"/>
      <c r="Y129" s="4"/>
      <c r="Z129" s="4"/>
      <c r="AA129" s="4"/>
    </row>
    <row r="130" spans="6:27" x14ac:dyDescent="0.25">
      <c r="F130" s="4"/>
      <c r="G130" s="4"/>
      <c r="H130" s="4"/>
      <c r="I130" s="4"/>
      <c r="J130" s="4"/>
      <c r="K130" s="4"/>
      <c r="L130" s="4"/>
      <c r="M130" s="4"/>
      <c r="N130" s="4"/>
      <c r="V130" s="4"/>
      <c r="W130" s="4"/>
      <c r="X130" s="4"/>
      <c r="Y130" s="4"/>
      <c r="Z130" s="4"/>
      <c r="AA130" s="4"/>
    </row>
  </sheetData>
  <sheetProtection algorithmName="SHA-512" hashValue="de5663D76H/D1bb1YJFiuB2P1v94+0JZTj31EJ9qoznr167w1vtreqgUqqravjO86yF5rrwakemnI4FYfbv5jA==" saltValue="5vh38aF9VLctHlD9xua0pg==" spinCount="100000" sheet="1" objects="1" scenarios="1"/>
  <sortState ref="R17:R48">
    <sortCondition ref="R17:R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  <dataValidation type="list" allowBlank="1" showInputMessage="1" showErrorMessage="1" promptTitle="Select GTM-time" prompt="Use drop-down List" sqref="C8" xr:uid="{00000000-0002-0000-0100-000002000000}">
      <formula1>$O$18:$O$41</formula1>
    </dataValidation>
    <dataValidation type="list" allowBlank="1" showInputMessage="1" showErrorMessage="1" promptTitle="Select Minutes" prompt="Use drop-down List" sqref="C10" xr:uid="{00000000-0002-0000-0100-000003000000}">
      <formula1>$O$43:$O$46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97"/>
  <sheetViews>
    <sheetView showGridLines="0" tabSelected="1" topLeftCell="L8" zoomScaleNormal="100" workbookViewId="0">
      <selection activeCell="BY37" sqref="BY37"/>
    </sheetView>
  </sheetViews>
  <sheetFormatPr defaultColWidth="9.140625" defaultRowHeight="15" x14ac:dyDescent="0.25"/>
  <cols>
    <col min="1" max="1" width="4.85546875" style="11" customWidth="1"/>
    <col min="2" max="2" width="6.140625" style="11" customWidth="1"/>
    <col min="3" max="3" width="11.7109375" style="11" bestFit="1" customWidth="1"/>
    <col min="4" max="4" width="7.28515625" style="12" customWidth="1"/>
    <col min="5" max="5" width="22.5703125" style="13" customWidth="1"/>
    <col min="6" max="7" width="4.28515625" style="14" customWidth="1"/>
    <col min="8" max="8" width="22.5703125" style="15" customWidth="1"/>
    <col min="9" max="9" width="3.42578125" style="10" customWidth="1"/>
    <col min="10" max="10" width="14" style="16" customWidth="1"/>
    <col min="11" max="14" width="5.42578125" style="17" customWidth="1"/>
    <col min="15" max="15" width="7.7109375" style="17" customWidth="1"/>
    <col min="16" max="16" width="6.7109375" style="17" customWidth="1"/>
    <col min="17" max="17" width="3.42578125" style="9" customWidth="1"/>
    <col min="18" max="18" width="15.42578125" style="101" hidden="1" customWidth="1"/>
    <col min="19" max="20" width="16" style="106" hidden="1" customWidth="1"/>
    <col min="21" max="21" width="5" style="102" hidden="1" customWidth="1"/>
    <col min="22" max="25" width="6.140625" style="101" hidden="1" customWidth="1"/>
    <col min="26" max="26" width="4.28515625" style="102" hidden="1" customWidth="1"/>
    <col min="27" max="27" width="5.42578125" style="101" hidden="1" customWidth="1"/>
    <col min="28" max="28" width="13.42578125" style="102" hidden="1" customWidth="1"/>
    <col min="29" max="33" width="5.42578125" style="101" hidden="1" customWidth="1"/>
    <col min="34" max="36" width="6" style="101" hidden="1" customWidth="1"/>
    <col min="37" max="37" width="5.42578125" style="101" hidden="1" customWidth="1"/>
    <col min="38" max="38" width="6" style="101" hidden="1" customWidth="1"/>
    <col min="39" max="42" width="7.140625" style="102" hidden="1" customWidth="1"/>
    <col min="43" max="43" width="17.140625" style="102" hidden="1" customWidth="1"/>
    <col min="44" max="44" width="15.28515625" style="103" hidden="1" customWidth="1"/>
    <col min="45" max="45" width="4.7109375" style="104" hidden="1" customWidth="1"/>
    <col min="46" max="49" width="4.7109375" style="105" hidden="1" customWidth="1"/>
    <col min="50" max="52" width="9.140625" style="56" hidden="1" customWidth="1"/>
    <col min="53" max="53" width="0.140625" style="57" customWidth="1"/>
    <col min="54" max="54" width="3.28515625" style="10" customWidth="1"/>
    <col min="55" max="55" width="19.7109375" style="10" customWidth="1"/>
    <col min="56" max="58" width="3" style="10" customWidth="1"/>
    <col min="59" max="60" width="2" style="10" customWidth="1"/>
    <col min="61" max="61" width="3.28515625" style="10" customWidth="1"/>
    <col min="62" max="62" width="19.7109375" style="10" customWidth="1"/>
    <col min="63" max="65" width="3" style="10" customWidth="1"/>
    <col min="66" max="67" width="2" style="10" customWidth="1"/>
    <col min="68" max="68" width="3.28515625" style="10" customWidth="1"/>
    <col min="69" max="69" width="19.7109375" style="10" customWidth="1"/>
    <col min="70" max="72" width="3" style="10" customWidth="1"/>
    <col min="73" max="74" width="2" style="10" customWidth="1"/>
    <col min="75" max="75" width="3.28515625" style="10" customWidth="1"/>
    <col min="76" max="76" width="19.7109375" style="10" customWidth="1"/>
    <col min="77" max="79" width="3" style="10" customWidth="1"/>
    <col min="80" max="16384" width="9.140625" style="10"/>
  </cols>
  <sheetData>
    <row r="1" spans="1:79" ht="46.5" x14ac:dyDescent="0.25">
      <c r="A1" s="121" t="str">
        <f>INDEX(T,2,lang)</f>
        <v>2018 World Cup Final Tournament Schedule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S1" s="101"/>
      <c r="T1" s="101"/>
      <c r="U1" s="101"/>
      <c r="Z1" s="101"/>
      <c r="AB1" s="101"/>
      <c r="AD1" s="102"/>
      <c r="AE1" s="102"/>
      <c r="AF1" s="103"/>
      <c r="AG1" s="104"/>
      <c r="AH1" s="105"/>
      <c r="AI1" s="105"/>
      <c r="AJ1" s="105"/>
      <c r="AK1" s="105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</row>
    <row r="2" spans="1:79" ht="3" customHeight="1" x14ac:dyDescent="0.25">
      <c r="S2" s="101"/>
      <c r="T2" s="101"/>
      <c r="U2" s="101"/>
      <c r="Z2" s="101"/>
      <c r="AB2" s="101"/>
      <c r="AD2" s="102"/>
      <c r="AE2" s="102"/>
      <c r="AF2" s="103"/>
      <c r="AG2" s="104"/>
      <c r="AH2" s="105"/>
      <c r="AI2" s="105"/>
      <c r="AJ2" s="105"/>
      <c r="AK2" s="105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</row>
    <row r="3" spans="1:79" ht="12.75" customHeight="1" x14ac:dyDescent="0.25">
      <c r="A3" s="18"/>
      <c r="B3" s="18"/>
      <c r="C3" s="18"/>
      <c r="D3" s="18"/>
      <c r="E3" s="18"/>
      <c r="F3" s="18"/>
      <c r="G3" s="18"/>
      <c r="H3" s="100"/>
      <c r="I3" s="18"/>
      <c r="J3" s="18"/>
      <c r="K3" s="18"/>
      <c r="L3" s="18"/>
      <c r="M3" s="18"/>
      <c r="N3" s="18"/>
      <c r="O3" s="122" t="str">
        <f>"Language: " &amp; Settings!C4</f>
        <v>Language: English</v>
      </c>
      <c r="P3" s="122"/>
      <c r="S3" s="101"/>
      <c r="T3" s="101"/>
      <c r="U3" s="101"/>
      <c r="Z3" s="101"/>
      <c r="AB3" s="101"/>
      <c r="AD3" s="102"/>
      <c r="AE3" s="102"/>
      <c r="AF3" s="103"/>
      <c r="AG3" s="104"/>
      <c r="AH3" s="105"/>
      <c r="AI3" s="105"/>
      <c r="AJ3" s="105"/>
      <c r="AK3" s="105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</row>
    <row r="4" spans="1:79" ht="3" customHeight="1" x14ac:dyDescent="0.25"/>
    <row r="5" spans="1:79" ht="15" customHeight="1" x14ac:dyDescent="0.25">
      <c r="A5" s="123" t="str">
        <f>INDEX(T,3,lang)</f>
        <v>Group Stage</v>
      </c>
      <c r="B5" s="124"/>
      <c r="C5" s="124"/>
      <c r="D5" s="124"/>
      <c r="E5" s="124"/>
      <c r="F5" s="124"/>
      <c r="G5" s="124"/>
      <c r="H5" s="125"/>
      <c r="J5" s="129" t="s">
        <v>2171</v>
      </c>
      <c r="K5" s="130"/>
      <c r="L5" s="130"/>
      <c r="M5" s="130"/>
      <c r="N5" s="130"/>
      <c r="O5" s="130"/>
      <c r="P5" s="131"/>
    </row>
    <row r="6" spans="1:79" ht="15" customHeight="1" x14ac:dyDescent="0.25">
      <c r="A6" s="126"/>
      <c r="B6" s="127"/>
      <c r="C6" s="127"/>
      <c r="D6" s="127"/>
      <c r="E6" s="127"/>
      <c r="F6" s="127"/>
      <c r="G6" s="127"/>
      <c r="H6" s="128"/>
      <c r="J6" s="132"/>
      <c r="K6" s="133"/>
      <c r="L6" s="133"/>
      <c r="M6" s="133"/>
      <c r="N6" s="133"/>
      <c r="O6" s="133"/>
      <c r="P6" s="134"/>
      <c r="V6" s="101" t="s">
        <v>2172</v>
      </c>
      <c r="W6" s="101" t="s">
        <v>2173</v>
      </c>
      <c r="AA6" s="101" t="s">
        <v>2174</v>
      </c>
      <c r="AB6" s="101" t="s">
        <v>1004</v>
      </c>
      <c r="AC6" s="101" t="s">
        <v>337</v>
      </c>
      <c r="AD6" s="101" t="s">
        <v>374</v>
      </c>
      <c r="AE6" s="101" t="s">
        <v>307</v>
      </c>
      <c r="AF6" s="101" t="s">
        <v>2172</v>
      </c>
      <c r="AG6" s="101" t="s">
        <v>2173</v>
      </c>
      <c r="AH6" s="101" t="s">
        <v>2175</v>
      </c>
      <c r="AI6" s="101" t="s">
        <v>2175</v>
      </c>
      <c r="AK6" s="101" t="s">
        <v>2176</v>
      </c>
      <c r="AL6" s="101" t="s">
        <v>353</v>
      </c>
      <c r="AM6" s="101" t="s">
        <v>2579</v>
      </c>
      <c r="AN6" s="101" t="s">
        <v>2579</v>
      </c>
      <c r="AO6" s="101" t="s">
        <v>251</v>
      </c>
      <c r="AP6" s="101" t="s">
        <v>251</v>
      </c>
      <c r="AQ6" s="101" t="s">
        <v>2170</v>
      </c>
      <c r="AS6" s="104" t="s">
        <v>337</v>
      </c>
      <c r="AT6" s="105" t="s">
        <v>374</v>
      </c>
      <c r="AU6" s="105" t="s">
        <v>2172</v>
      </c>
      <c r="AV6" s="105" t="s">
        <v>2173</v>
      </c>
      <c r="AW6" s="105" t="s">
        <v>2177</v>
      </c>
      <c r="BB6" s="115" t="str">
        <f>INDEX(T,4,lang)</f>
        <v>Round of 16</v>
      </c>
      <c r="BC6" s="116"/>
      <c r="BD6" s="116"/>
      <c r="BE6" s="116"/>
      <c r="BF6" s="117"/>
      <c r="BI6" s="115" t="str">
        <f>INDEX(T,5,lang)</f>
        <v>Quarterfinals</v>
      </c>
      <c r="BJ6" s="116"/>
      <c r="BK6" s="116"/>
      <c r="BL6" s="116"/>
      <c r="BM6" s="117"/>
      <c r="BP6" s="115" t="str">
        <f>INDEX(T,6,lang)</f>
        <v>Semi-Finals</v>
      </c>
      <c r="BQ6" s="116"/>
      <c r="BR6" s="116"/>
      <c r="BS6" s="116"/>
      <c r="BT6" s="117"/>
      <c r="BW6" s="115" t="str">
        <f>INDEX(T,8,lang)</f>
        <v>Final</v>
      </c>
      <c r="BX6" s="116"/>
      <c r="BY6" s="116"/>
      <c r="BZ6" s="116"/>
      <c r="CA6" s="117"/>
    </row>
    <row r="7" spans="1:79" ht="15" customHeight="1" x14ac:dyDescent="0.25">
      <c r="A7" s="19">
        <v>1</v>
      </c>
      <c r="B7" s="20" t="str">
        <f t="shared" ref="B7:B54" si="0">INDEX(T,18+INT(MOD(R7-1,7)),lang)</f>
        <v>Thu</v>
      </c>
      <c r="C7" s="21" t="str">
        <f t="shared" ref="C7:C54" si="1">INDEX(T,24+MONTH(R7),lang) &amp; " " &amp; DAY(R7) &amp; ", " &amp; YEAR(R7)</f>
        <v>Jun 14, 2018</v>
      </c>
      <c r="D7" s="22">
        <f>TIME(HOUR(R7),MINUTE(R7),0)</f>
        <v>0.625</v>
      </c>
      <c r="E7" s="95" t="str">
        <f>AB8</f>
        <v>Russia</v>
      </c>
      <c r="F7" s="109">
        <v>5</v>
      </c>
      <c r="G7" s="110">
        <v>0</v>
      </c>
      <c r="H7" s="92" t="str">
        <f>AB9</f>
        <v>Saudi Arabia</v>
      </c>
      <c r="R7" s="107">
        <f>DATE(2018,6,14)+TIME(4,0,0)+gmt_delta</f>
        <v>43265.625</v>
      </c>
      <c r="S7" s="106" t="str">
        <f t="shared" ref="S7:S54" si="2">IF(OR(F7="",G7=""),"",IF(F7&gt;G7,E7&amp;"_win",IF(F7&lt;G7,E7&amp;"_lose",E7&amp;"_draw")))</f>
        <v>Russia_win</v>
      </c>
      <c r="T7" s="106" t="str">
        <f t="shared" ref="T7:T54" si="3">IF(S7="","",IF(F7&lt;G7,H7&amp;"_win",IF(F7&gt;G7,H7&amp;"_lose",H7&amp;"_draw")))</f>
        <v>Saudi Arabia_lose</v>
      </c>
      <c r="U7" s="102">
        <f t="shared" ref="U7:U54" si="4">IF(S7="",0,IF(VLOOKUP(E7,$AB$8:$AK$53,7,FALSE)=VLOOKUP(H7,$AB$8:$AK$53,7,FALSE),1,0))</f>
        <v>0</v>
      </c>
      <c r="V7" s="101">
        <f t="shared" ref="V7:V54" si="5">U7*F7</f>
        <v>0</v>
      </c>
      <c r="W7" s="101">
        <f t="shared" ref="W7:W54" si="6">U7*G7</f>
        <v>0</v>
      </c>
      <c r="X7" s="101">
        <f t="shared" ref="X7:X54" si="7">IF(OR(E7=my_team,H7=my_team),1,0)</f>
        <v>0</v>
      </c>
      <c r="Y7" s="101">
        <f>IF(OR(F7="",G7=""),"",IF(F7&gt;G7,1,IF(F7&lt;G7,-1,0)))</f>
        <v>1</v>
      </c>
      <c r="AN7" s="102" t="s">
        <v>2170</v>
      </c>
      <c r="AO7" s="102" t="s">
        <v>2583</v>
      </c>
      <c r="AP7" s="102" t="s">
        <v>2170</v>
      </c>
      <c r="BB7" s="118"/>
      <c r="BC7" s="119"/>
      <c r="BD7" s="119"/>
      <c r="BE7" s="119"/>
      <c r="BF7" s="120"/>
      <c r="BI7" s="118"/>
      <c r="BJ7" s="119"/>
      <c r="BK7" s="119"/>
      <c r="BL7" s="119"/>
      <c r="BM7" s="120"/>
      <c r="BP7" s="118"/>
      <c r="BQ7" s="119"/>
      <c r="BR7" s="119"/>
      <c r="BS7" s="119"/>
      <c r="BT7" s="120"/>
      <c r="BW7" s="118"/>
      <c r="BX7" s="119"/>
      <c r="BY7" s="119"/>
      <c r="BZ7" s="119"/>
      <c r="CA7" s="120"/>
    </row>
    <row r="8" spans="1:79" ht="15" customHeight="1" x14ac:dyDescent="0.25">
      <c r="A8" s="23">
        <v>2</v>
      </c>
      <c r="B8" s="24" t="str">
        <f t="shared" si="0"/>
        <v>Fri</v>
      </c>
      <c r="C8" s="25" t="str">
        <f t="shared" si="1"/>
        <v>Jun 15, 2018</v>
      </c>
      <c r="D8" s="26">
        <f t="shared" ref="D8:D54" si="8">TIME(HOUR(R8),MINUTE(R8),0)</f>
        <v>0.5</v>
      </c>
      <c r="E8" s="96" t="str">
        <f>AB10</f>
        <v>Egypt</v>
      </c>
      <c r="F8" s="111">
        <v>0</v>
      </c>
      <c r="G8" s="112">
        <v>1</v>
      </c>
      <c r="H8" s="93" t="str">
        <f>AB11</f>
        <v>Uruguay</v>
      </c>
      <c r="J8" s="66" t="str">
        <f>INDEX(T,9,lang) &amp; " " &amp; "A"</f>
        <v>Group A</v>
      </c>
      <c r="K8" s="67" t="str">
        <f>INDEX(T,10,lang)</f>
        <v>PL</v>
      </c>
      <c r="L8" s="67" t="str">
        <f>INDEX(T,11,lang)</f>
        <v>W</v>
      </c>
      <c r="M8" s="67" t="str">
        <f>INDEX(T,12,lang)</f>
        <v>DRAW</v>
      </c>
      <c r="N8" s="67" t="str">
        <f>INDEX(T,13,lang)</f>
        <v>L</v>
      </c>
      <c r="O8" s="67" t="str">
        <f>INDEX(T,14,lang)</f>
        <v>GF - GA</v>
      </c>
      <c r="P8" s="68" t="str">
        <f>INDEX(T,15,lang)</f>
        <v>PNT</v>
      </c>
      <c r="R8" s="101">
        <f>DATE(2018,6,15)+TIME(1,0,0)+gmt_delta</f>
        <v>43266.5</v>
      </c>
      <c r="S8" s="106" t="str">
        <f t="shared" si="2"/>
        <v>Egypt_lose</v>
      </c>
      <c r="T8" s="106" t="str">
        <f t="shared" si="3"/>
        <v>Uruguay_win</v>
      </c>
      <c r="U8" s="102">
        <f t="shared" si="4"/>
        <v>0</v>
      </c>
      <c r="V8" s="101">
        <f t="shared" si="5"/>
        <v>0</v>
      </c>
      <c r="W8" s="101">
        <f t="shared" si="6"/>
        <v>0</v>
      </c>
      <c r="X8" s="101">
        <f t="shared" si="7"/>
        <v>0</v>
      </c>
      <c r="Y8" s="101">
        <f t="shared" ref="Y8:Y54" si="9">IF(OR(F8="",G8=""),"",IF(F8&gt;G8,1,IF(F8&lt;G8,-1,0)))</f>
        <v>-1</v>
      </c>
      <c r="AA8" s="101">
        <f>COUNTIF(AQ8:AQ11,CONCATENATE("&gt;=",AQ8))</f>
        <v>2</v>
      </c>
      <c r="AB8" s="102" t="str">
        <f>VLOOKUP("Russia",T,lang,FALSE)</f>
        <v>Russia</v>
      </c>
      <c r="AC8" s="101">
        <f>COUNTIF($S$7:$T$54,"=" &amp; AB8 &amp; "_win")</f>
        <v>2</v>
      </c>
      <c r="AD8" s="101">
        <f>COUNTIF($S$7:$T$54,"=" &amp; AB8 &amp; "_draw")</f>
        <v>0</v>
      </c>
      <c r="AE8" s="101">
        <f>COUNTIF($S$7:$T$54,"=" &amp; AB8 &amp; "_lose")</f>
        <v>1</v>
      </c>
      <c r="AF8" s="101">
        <f>SUMIF($E$7:$E$54,$AB8,$F$7:$F$54) + SUMIF($H$7:$H$54,$AB8,$G$7:$G$54)</f>
        <v>8</v>
      </c>
      <c r="AG8" s="101">
        <f>SUMIF($E$7:$E$54,$AB8,$G$7:$G$54) + SUMIF($H$7:$H$54,$AB8,$F$7:$F$54)</f>
        <v>4</v>
      </c>
      <c r="AH8" s="101">
        <f>(AF8-AG8)+1</f>
        <v>5</v>
      </c>
      <c r="AI8" s="101">
        <f>AF8-AG8</f>
        <v>4</v>
      </c>
      <c r="AJ8" s="101">
        <f>(AI8-AI13)/AI12</f>
        <v>0.81818181818181823</v>
      </c>
      <c r="AK8" s="101">
        <f>AC8*3+AD8</f>
        <v>6</v>
      </c>
      <c r="AL8" s="101">
        <f>AS8/AS12*1000+AT8/AT12*100+AW8/AW12*10+AU8/AU12</f>
        <v>0</v>
      </c>
      <c r="AM8" s="101">
        <f>VLOOKUP(AB8,fair_play,2,FALSE)</f>
        <v>-1</v>
      </c>
      <c r="AN8" s="101">
        <f>COUNTIF($AM$8:$AM$11,CONCATENATE("&lt;=",AM8))</f>
        <v>4</v>
      </c>
      <c r="AO8" s="101">
        <f>VLOOKUP(AB8,fair_play,3,FALSE)</f>
        <v>23</v>
      </c>
      <c r="AP8" s="101">
        <f>COUNTIF($AO$8:$AO$11,CONCATENATE("&gt;=",AO8))</f>
        <v>3</v>
      </c>
      <c r="AQ8" s="102">
        <f>1000*AK8/AK12+100*AJ8+10*AF8/AF12+1*AL8/AL12+0.00001*AN8+0.000001*AP8</f>
        <v>693.24679624675332</v>
      </c>
      <c r="AR8" s="103" t="str">
        <f>IF(SUM(AC8:AE11)=12,J9,INDEX(T,70,lang))</f>
        <v>Uruguay</v>
      </c>
      <c r="AS8" s="104">
        <f>SUMPRODUCT(($S$7:$S$54=AB8&amp;"_win")*($U$7:$U$54))+SUMPRODUCT(($T$7:$T$54=AB8&amp;"_win")*($U$7:$U$54))</f>
        <v>0</v>
      </c>
      <c r="AT8" s="105">
        <f>SUMPRODUCT(($S$7:$S$54=AB8&amp;"_draw")*($U$7:$U$54))+SUMPRODUCT(($T$7:$T$54=AB8&amp;"_draw")*($U$7:$U$54))</f>
        <v>0</v>
      </c>
      <c r="AU8" s="105">
        <f>SUMPRODUCT(($E$7:$E$54=AB8)*($U$7:$U$54)*($F$7:$F$54))+SUMPRODUCT(($H$7:$H$54=AB8)*($U$7:$U$54)*($G$7:$G$54))</f>
        <v>0</v>
      </c>
      <c r="AV8" s="105">
        <f>SUMPRODUCT(($E$7:$E$54=AB8)*($U$7:$U$54)*($G$7:$G$54))+SUMPRODUCT(($H$7:$H$54=AB8)*($U$7:$U$54)*($F$7:$F$54))</f>
        <v>0</v>
      </c>
      <c r="AW8" s="105">
        <f>AU8-AV8</f>
        <v>0</v>
      </c>
      <c r="BJ8" s="27"/>
      <c r="BK8" s="27"/>
      <c r="BL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</row>
    <row r="9" spans="1:79" ht="15" customHeight="1" x14ac:dyDescent="0.25">
      <c r="A9" s="23">
        <v>3</v>
      </c>
      <c r="B9" s="24" t="str">
        <f t="shared" si="0"/>
        <v>Fri</v>
      </c>
      <c r="C9" s="25" t="str">
        <f t="shared" si="1"/>
        <v>Jun 15, 2018</v>
      </c>
      <c r="D9" s="26">
        <f t="shared" si="8"/>
        <v>0.75</v>
      </c>
      <c r="E9" s="96" t="str">
        <f>AB14</f>
        <v>Portugal</v>
      </c>
      <c r="F9" s="111">
        <v>3</v>
      </c>
      <c r="G9" s="112">
        <v>3</v>
      </c>
      <c r="H9" s="93" t="str">
        <f>AB15</f>
        <v>Spain</v>
      </c>
      <c r="J9" s="58" t="str">
        <f>VLOOKUP(1,AA8:AK11,2,FALSE)</f>
        <v>Uruguay</v>
      </c>
      <c r="K9" s="59">
        <f>L9+M9+N9</f>
        <v>3</v>
      </c>
      <c r="L9" s="59">
        <f>VLOOKUP(1,AA8:AK11,3,FALSE)</f>
        <v>3</v>
      </c>
      <c r="M9" s="59">
        <f>VLOOKUP(1,AA8:AK11,4,FALSE)</f>
        <v>0</v>
      </c>
      <c r="N9" s="59">
        <f>VLOOKUP(1,AA8:AK11,5,FALSE)</f>
        <v>0</v>
      </c>
      <c r="O9" s="59" t="str">
        <f>VLOOKUP(1,AA8:AK11,6,FALSE) &amp; " - " &amp; VLOOKUP(1,AA8:AK11,7,FALSE)</f>
        <v>5 - 0</v>
      </c>
      <c r="P9" s="60">
        <f>L9*3+M9</f>
        <v>9</v>
      </c>
      <c r="R9" s="101">
        <f>DATE(2018,6,15)+TIME(7,0,0)+gmt_delta</f>
        <v>43266.75</v>
      </c>
      <c r="S9" s="106" t="str">
        <f t="shared" si="2"/>
        <v>Portugal_draw</v>
      </c>
      <c r="T9" s="106" t="str">
        <f t="shared" si="3"/>
        <v>Spain_draw</v>
      </c>
      <c r="U9" s="102">
        <f t="shared" si="4"/>
        <v>0</v>
      </c>
      <c r="V9" s="101">
        <f t="shared" si="5"/>
        <v>0</v>
      </c>
      <c r="W9" s="101">
        <f t="shared" si="6"/>
        <v>0</v>
      </c>
      <c r="X9" s="101">
        <f t="shared" si="7"/>
        <v>0</v>
      </c>
      <c r="Y9" s="101">
        <f t="shared" si="9"/>
        <v>0</v>
      </c>
      <c r="AA9" s="101">
        <f>COUNTIF(AQ8:AQ11,CONCATENATE("&gt;=",AQ9))</f>
        <v>3</v>
      </c>
      <c r="AB9" s="102" t="str">
        <f>VLOOKUP("Saudi Arabia",T,lang,FALSE)</f>
        <v>Saudi Arabia</v>
      </c>
      <c r="AC9" s="101">
        <f>COUNTIF($S$7:$T$54,"=" &amp; AB9 &amp; "_win")</f>
        <v>1</v>
      </c>
      <c r="AD9" s="101">
        <f>COUNTIF($S$7:$T$54,"=" &amp; AB9 &amp; "_draw")</f>
        <v>0</v>
      </c>
      <c r="AE9" s="101">
        <f>COUNTIF($S$7:$T$54,"=" &amp; AB9 &amp; "_lose")</f>
        <v>2</v>
      </c>
      <c r="AF9" s="101">
        <f>SUMIF($E$7:$E$54,$AB9,$F$7:$F$54) + SUMIF($H$7:$H$54,$AB9,$G$7:$G$54)</f>
        <v>2</v>
      </c>
      <c r="AG9" s="101">
        <f>SUMIF($E$7:$E$54,$AB9,$G$7:$G$54) + SUMIF($H$7:$H$54,$AB9,$F$7:$F$54)</f>
        <v>7</v>
      </c>
      <c r="AH9" s="101">
        <f>(AF9-AG9)+1</f>
        <v>-4</v>
      </c>
      <c r="AI9" s="101">
        <f>AF9-AG9</f>
        <v>-5</v>
      </c>
      <c r="AJ9" s="101">
        <f>(AI9-AI13)/AI12</f>
        <v>0</v>
      </c>
      <c r="AK9" s="101">
        <f>AC9*3+AD9</f>
        <v>3</v>
      </c>
      <c r="AL9" s="101">
        <f>AS9/AS12*1000+AT9/AT12*100+AW9/AW12*10+AU9/AU12</f>
        <v>0</v>
      </c>
      <c r="AM9" s="101">
        <f>VLOOKUP(AB9,fair_play,2,FALSE)</f>
        <v>-6</v>
      </c>
      <c r="AN9" s="101">
        <f t="shared" ref="AN9:AN11" si="10">COUNTIF($AM$8:$AM$11,CONCATENATE("&lt;=",AM9))</f>
        <v>1</v>
      </c>
      <c r="AO9" s="101">
        <f>VLOOKUP(AB9,fair_play,3,FALSE)</f>
        <v>24</v>
      </c>
      <c r="AP9" s="101">
        <f t="shared" ref="AP9:AP11" si="11">COUNTIF($AO$8:$AO$11,CONCATENATE("&gt;=",AO9))</f>
        <v>2</v>
      </c>
      <c r="AQ9" s="102">
        <f>1000*AK9/AK12+100*AJ9+10*AF9/AF12+1*AL9/AL12+0.00001*AN9+0.000001*AP9</f>
        <v>302.8571548571428</v>
      </c>
      <c r="AR9" s="103" t="str">
        <f>IF(SUM(AC8:AE11)=12,J10,INDEX(T,71,lang))</f>
        <v>Russia</v>
      </c>
      <c r="AS9" s="104">
        <f>SUMPRODUCT(($S$7:$S$54=AB9&amp;"_win")*($U$7:$U$54))+SUMPRODUCT(($T$7:$T$54=AB9&amp;"_win")*($U$7:$U$54))</f>
        <v>0</v>
      </c>
      <c r="AT9" s="105">
        <f>SUMPRODUCT(($S$7:$S$54=AB9&amp;"_draw")*($U$7:$U$54))+SUMPRODUCT(($T$7:$T$54=AB9&amp;"_draw")*($U$7:$U$54))</f>
        <v>0</v>
      </c>
      <c r="AU9" s="105">
        <f>SUMPRODUCT(($E$7:$E$54=AB9)*($U$7:$U$54)*($F$7:$F$54))+SUMPRODUCT(($H$7:$H$54=AB9)*($U$7:$U$54)*($G$7:$G$54))</f>
        <v>0</v>
      </c>
      <c r="AV9" s="105">
        <f>SUMPRODUCT(($E$7:$E$54=AB9)*($U$7:$U$54)*($G$7:$G$54))+SUMPRODUCT(($H$7:$H$54=AB9)*($U$7:$U$54)*($F$7:$F$54))</f>
        <v>0</v>
      </c>
      <c r="AW9" s="105">
        <f>AU9-AV9</f>
        <v>0</v>
      </c>
      <c r="BB9" s="27" t="str">
        <f>INDEX(T,24+MONTH(R58),lang) &amp; " " &amp; DAY(R58) &amp; ", " &amp; YEAR(R58) &amp; "   " &amp; (IF(HOUR(R58)&lt;10,0,"") &amp; HOUR(R58)) &amp; ":" &amp; (IF(MINUTE(R58)&lt;10,0,"") &amp; MINUTE(R58))</f>
        <v>Jun 30, 2018   18:00</v>
      </c>
      <c r="BC9" s="27"/>
      <c r="BD9" s="27"/>
      <c r="BE9" s="27"/>
      <c r="BF9" s="28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</row>
    <row r="10" spans="1:79" ht="15" customHeight="1" x14ac:dyDescent="0.25">
      <c r="A10" s="23">
        <v>4</v>
      </c>
      <c r="B10" s="24" t="str">
        <f t="shared" si="0"/>
        <v>Fri</v>
      </c>
      <c r="C10" s="25" t="str">
        <f t="shared" si="1"/>
        <v>Jun 15, 2018</v>
      </c>
      <c r="D10" s="26">
        <f t="shared" si="8"/>
        <v>0.625</v>
      </c>
      <c r="E10" s="96" t="str">
        <f>AB16</f>
        <v>Morocco</v>
      </c>
      <c r="F10" s="111">
        <v>0</v>
      </c>
      <c r="G10" s="112">
        <v>1</v>
      </c>
      <c r="H10" s="93" t="str">
        <f>AB17</f>
        <v>Iran</v>
      </c>
      <c r="J10" s="61" t="str">
        <f>VLOOKUP(2,AA8:AK11,2,FALSE)</f>
        <v>Russia</v>
      </c>
      <c r="K10" s="29">
        <f>L10+M10+N10</f>
        <v>3</v>
      </c>
      <c r="L10" s="29">
        <f>VLOOKUP(2,AA8:AK11,3,FALSE)</f>
        <v>2</v>
      </c>
      <c r="M10" s="29">
        <f>VLOOKUP(2,AA8:AK11,4,FALSE)</f>
        <v>0</v>
      </c>
      <c r="N10" s="29">
        <f>VLOOKUP(2,AA8:AK11,5,FALSE)</f>
        <v>1</v>
      </c>
      <c r="O10" s="29" t="str">
        <f>VLOOKUP(2,AA8:AK11,6,FALSE) &amp; " - " &amp; VLOOKUP(2,AA8:AK11,7,FALSE)</f>
        <v>8 - 4</v>
      </c>
      <c r="P10" s="62">
        <f>L10*3+M10</f>
        <v>6</v>
      </c>
      <c r="R10" s="101">
        <f>DATE(2018,6,15)+TIME(4,0,0)+gmt_delta</f>
        <v>43266.625</v>
      </c>
      <c r="S10" s="106" t="str">
        <f t="shared" si="2"/>
        <v>Morocco_lose</v>
      </c>
      <c r="T10" s="106" t="str">
        <f t="shared" si="3"/>
        <v>Iran_win</v>
      </c>
      <c r="U10" s="102">
        <f t="shared" si="4"/>
        <v>0</v>
      </c>
      <c r="V10" s="101">
        <f t="shared" si="5"/>
        <v>0</v>
      </c>
      <c r="W10" s="101">
        <f t="shared" si="6"/>
        <v>0</v>
      </c>
      <c r="X10" s="101">
        <f t="shared" si="7"/>
        <v>0</v>
      </c>
      <c r="Y10" s="101">
        <f t="shared" si="9"/>
        <v>-1</v>
      </c>
      <c r="AA10" s="101">
        <f>COUNTIF(AQ8:AQ11,CONCATENATE("&gt;=",AQ10))</f>
        <v>4</v>
      </c>
      <c r="AB10" s="102" t="str">
        <f>VLOOKUP("Egypt",T,lang,FALSE)</f>
        <v>Egypt</v>
      </c>
      <c r="AC10" s="101">
        <f>COUNTIF($S$7:$T$54,"=" &amp; AB10 &amp; "_win")</f>
        <v>0</v>
      </c>
      <c r="AD10" s="101">
        <f>COUNTIF($S$7:$T$54,"=" &amp; AB10 &amp; "_draw")</f>
        <v>0</v>
      </c>
      <c r="AE10" s="101">
        <f>COUNTIF($S$7:$T$54,"=" &amp; AB10 &amp; "_lose")</f>
        <v>3</v>
      </c>
      <c r="AF10" s="101">
        <f>SUMIF($E$7:$E$54,$AB10,$F$7:$F$54) + SUMIF($H$7:$H$54,$AB10,$G$7:$G$54)</f>
        <v>2</v>
      </c>
      <c r="AG10" s="101">
        <f>SUMIF($E$7:$E$54,$AB10,$G$7:$G$54) + SUMIF($H$7:$H$54,$AB10,$F$7:$F$54)</f>
        <v>6</v>
      </c>
      <c r="AH10" s="101">
        <f>(AF10-AG10)+1</f>
        <v>-3</v>
      </c>
      <c r="AI10" s="101">
        <f>AF10-AG10</f>
        <v>-4</v>
      </c>
      <c r="AJ10" s="101">
        <f>(AI10-AI13)/AI12</f>
        <v>9.0909090909090912E-2</v>
      </c>
      <c r="AK10" s="101">
        <f>AC10*3+AD10</f>
        <v>0</v>
      </c>
      <c r="AL10" s="101">
        <f>AS10/AS12*1000+AT10/AT12*100+AW10/AW12*10+AU10/AU12</f>
        <v>0</v>
      </c>
      <c r="AM10" s="101">
        <f>VLOOKUP(AB10,fair_play,2,FALSE)</f>
        <v>-5</v>
      </c>
      <c r="AN10" s="101">
        <f t="shared" si="10"/>
        <v>2</v>
      </c>
      <c r="AO10" s="101">
        <f>VLOOKUP(AB10,fair_play,3,FALSE)</f>
        <v>8</v>
      </c>
      <c r="AP10" s="101">
        <f t="shared" si="11"/>
        <v>4</v>
      </c>
      <c r="AQ10" s="102">
        <f>1000*AK10/AK12+100*AJ10+10*AF10/AF12+1*AL10/AL12+0.00001*AN10+0.000001*AP10</f>
        <v>11.948075948051949</v>
      </c>
      <c r="AS10" s="104">
        <f>SUMPRODUCT(($S$7:$S$54=AB10&amp;"_win")*($U$7:$U$54))+SUMPRODUCT(($T$7:$T$54=AB10&amp;"_win")*($U$7:$U$54))</f>
        <v>0</v>
      </c>
      <c r="AT10" s="105">
        <f>SUMPRODUCT(($S$7:$S$54=AB10&amp;"_draw")*($U$7:$U$54))+SUMPRODUCT(($T$7:$T$54=AB10&amp;"_draw")*($U$7:$U$54))</f>
        <v>0</v>
      </c>
      <c r="AU10" s="105">
        <f>SUMPRODUCT(($E$7:$E$54=AB10)*($U$7:$U$54)*($F$7:$F$54))+SUMPRODUCT(($H$7:$H$54=AB10)*($U$7:$U$54)*($G$7:$G$54))</f>
        <v>0</v>
      </c>
      <c r="AV10" s="105">
        <f>SUMPRODUCT(($E$7:$E$54=AB10)*($U$7:$U$54)*($G$7:$G$54))+SUMPRODUCT(($H$7:$H$54=AB10)*($U$7:$U$54)*($F$7:$F$54))</f>
        <v>0</v>
      </c>
      <c r="AW10" s="105">
        <f>AU10-AV10</f>
        <v>0</v>
      </c>
      <c r="BB10" s="135">
        <v>49</v>
      </c>
      <c r="BC10" s="30" t="str">
        <f>AR8</f>
        <v>Uruguay</v>
      </c>
      <c r="BD10" s="88">
        <v>2</v>
      </c>
      <c r="BE10" s="90"/>
      <c r="BF10" s="31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</row>
    <row r="11" spans="1:79" ht="15" customHeight="1" x14ac:dyDescent="0.25">
      <c r="A11" s="23">
        <v>5</v>
      </c>
      <c r="B11" s="24" t="str">
        <f t="shared" si="0"/>
        <v>Sat</v>
      </c>
      <c r="C11" s="25" t="str">
        <f t="shared" si="1"/>
        <v>Jun 16, 2018</v>
      </c>
      <c r="D11" s="26">
        <f t="shared" si="8"/>
        <v>0.41666666666666669</v>
      </c>
      <c r="E11" s="96" t="str">
        <f>AB20</f>
        <v>France</v>
      </c>
      <c r="F11" s="111">
        <v>2</v>
      </c>
      <c r="G11" s="112">
        <v>1</v>
      </c>
      <c r="H11" s="93" t="str">
        <f>AB21</f>
        <v>Australia</v>
      </c>
      <c r="J11" s="61" t="str">
        <f>VLOOKUP(3,AA8:AK11,2,FALSE)</f>
        <v>Saudi Arabia</v>
      </c>
      <c r="K11" s="29">
        <f>L11+M11+N11</f>
        <v>3</v>
      </c>
      <c r="L11" s="29">
        <f>VLOOKUP(3,AA8:AK11,3,FALSE)</f>
        <v>1</v>
      </c>
      <c r="M11" s="29">
        <f>VLOOKUP(3,AA8:AK11,4,FALSE)</f>
        <v>0</v>
      </c>
      <c r="N11" s="29">
        <f>VLOOKUP(3,AA8:AK11,5,FALSE)</f>
        <v>2</v>
      </c>
      <c r="O11" s="29" t="str">
        <f>VLOOKUP(3,AA8:AK11,6,FALSE) &amp; " - " &amp; VLOOKUP(3,AA8:AK11,7,FALSE)</f>
        <v>2 - 7</v>
      </c>
      <c r="P11" s="62">
        <f>L11*3+M11</f>
        <v>3</v>
      </c>
      <c r="R11" s="101">
        <f>DATE(2018,6,15)+TIME(23,0,0)+gmt_delta</f>
        <v>43267.416666666672</v>
      </c>
      <c r="S11" s="106" t="str">
        <f t="shared" si="2"/>
        <v>France_win</v>
      </c>
      <c r="T11" s="106" t="str">
        <f t="shared" si="3"/>
        <v>Australia_lose</v>
      </c>
      <c r="U11" s="102">
        <f t="shared" si="4"/>
        <v>0</v>
      </c>
      <c r="V11" s="101">
        <f t="shared" si="5"/>
        <v>0</v>
      </c>
      <c r="W11" s="101">
        <f t="shared" si="6"/>
        <v>0</v>
      </c>
      <c r="X11" s="101">
        <f t="shared" si="7"/>
        <v>0</v>
      </c>
      <c r="Y11" s="101">
        <f t="shared" si="9"/>
        <v>1</v>
      </c>
      <c r="AA11" s="101">
        <f>COUNTIF(AQ8:AQ11,CONCATENATE("&gt;=",AQ11))</f>
        <v>1</v>
      </c>
      <c r="AB11" s="102" t="str">
        <f>VLOOKUP("Uruguay",T,lang,FALSE)</f>
        <v>Uruguay</v>
      </c>
      <c r="AC11" s="101">
        <f>COUNTIF($S$7:$T$54,"=" &amp; AB11 &amp; "_win")</f>
        <v>3</v>
      </c>
      <c r="AD11" s="101">
        <f>COUNTIF($S$7:$T$54,"=" &amp; AB11 &amp; "_draw")</f>
        <v>0</v>
      </c>
      <c r="AE11" s="101">
        <f>COUNTIF($S$7:$T$54,"=" &amp; AB11 &amp; "_lose")</f>
        <v>0</v>
      </c>
      <c r="AF11" s="101">
        <f>SUMIF($E$7:$E$54,$AB11,$F$7:$F$54) + SUMIF($H$7:$H$54,$AB11,$G$7:$G$54)</f>
        <v>5</v>
      </c>
      <c r="AG11" s="101">
        <f>SUMIF($E$7:$E$54,$AB11,$G$7:$G$54) + SUMIF($H$7:$H$54,$AB11,$F$7:$F$54)</f>
        <v>0</v>
      </c>
      <c r="AH11" s="101">
        <f>(AF11-AG11)+1</f>
        <v>6</v>
      </c>
      <c r="AI11" s="101">
        <f>AF11-AG11</f>
        <v>5</v>
      </c>
      <c r="AJ11" s="101">
        <f>(AI11-AI13)/AI12</f>
        <v>0.90909090909090906</v>
      </c>
      <c r="AK11" s="101">
        <f>AC11*3+AD11</f>
        <v>9</v>
      </c>
      <c r="AL11" s="101">
        <f>AS11/AS12*1000+AT11/AT12*100+AW11/AW12*10+AU11/AU12</f>
        <v>0</v>
      </c>
      <c r="AM11" s="101">
        <f>VLOOKUP(AB11,fair_play,2,FALSE)</f>
        <v>-1</v>
      </c>
      <c r="AN11" s="101">
        <f t="shared" si="10"/>
        <v>4</v>
      </c>
      <c r="AO11" s="101">
        <f>VLOOKUP(AB11,fair_play,3,FALSE)</f>
        <v>31</v>
      </c>
      <c r="AP11" s="101">
        <f t="shared" si="11"/>
        <v>1</v>
      </c>
      <c r="AQ11" s="102">
        <f>1000*AK11/AK12+100*AJ11+10*AF11/AF12+1*AL11/AL12+0.00001*AN11+0.000001*AP11</f>
        <v>998.051989051948</v>
      </c>
      <c r="AS11" s="104">
        <f>SUMPRODUCT(($S$7:$S$54=AB11&amp;"_win")*($U$7:$U$54))+SUMPRODUCT(($T$7:$T$54=AB11&amp;"_win")*($U$7:$U$54))</f>
        <v>0</v>
      </c>
      <c r="AT11" s="105">
        <f>SUMPRODUCT(($S$7:$S$54=AB11&amp;"_draw")*($U$7:$U$54))+SUMPRODUCT(($T$7:$T$54=AB11&amp;"_draw")*($U$7:$U$54))</f>
        <v>0</v>
      </c>
      <c r="AU11" s="105">
        <f>SUMPRODUCT(($E$7:$E$54=AB11)*($U$7:$U$54)*($F$7:$F$54))+SUMPRODUCT(($H$7:$H$54=AB11)*($U$7:$U$54)*($G$7:$G$54))</f>
        <v>0</v>
      </c>
      <c r="AV11" s="105">
        <f>SUMPRODUCT(($E$7:$E$54=AB11)*($U$7:$U$54)*($G$7:$G$54))+SUMPRODUCT(($H$7:$H$54=AB11)*($U$7:$U$54)*($F$7:$F$54))</f>
        <v>0</v>
      </c>
      <c r="AW11" s="105">
        <f>AU11-AV11</f>
        <v>0</v>
      </c>
      <c r="BB11" s="136"/>
      <c r="BC11" s="32" t="str">
        <f>AR15</f>
        <v>Portugal</v>
      </c>
      <c r="BD11" s="89">
        <v>1</v>
      </c>
      <c r="BE11" s="91"/>
      <c r="BF11" s="33"/>
      <c r="BG11" s="34"/>
      <c r="BH11" s="27"/>
      <c r="BI11" s="27" t="str">
        <f>INDEX(T,24+MONTH(R69),lang) &amp; " " &amp; DAY(R69) &amp; ", " &amp; YEAR(R69) &amp; "   " &amp; (IF(HOUR(R69)&lt;10,0,"") &amp; HOUR(R69)) &amp; ":" &amp; (IF(MINUTE(R69)&lt;10,0,"") &amp; MINUTE(R69))</f>
        <v>Jul 6, 2018   14:00</v>
      </c>
      <c r="BJ11" s="27"/>
      <c r="BK11" s="27"/>
      <c r="BL11" s="27"/>
      <c r="BM11" s="35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</row>
    <row r="12" spans="1:79" ht="15" customHeight="1" x14ac:dyDescent="0.25">
      <c r="A12" s="23">
        <v>6</v>
      </c>
      <c r="B12" s="24" t="str">
        <f t="shared" si="0"/>
        <v>Sat</v>
      </c>
      <c r="C12" s="25" t="str">
        <f t="shared" si="1"/>
        <v>Jun 16, 2018</v>
      </c>
      <c r="D12" s="26">
        <f t="shared" si="8"/>
        <v>0.66666666666666663</v>
      </c>
      <c r="E12" s="96" t="str">
        <f>AB22</f>
        <v>Peru</v>
      </c>
      <c r="F12" s="111">
        <v>0</v>
      </c>
      <c r="G12" s="112">
        <v>1</v>
      </c>
      <c r="H12" s="93" t="str">
        <f>AB23</f>
        <v>Denmark</v>
      </c>
      <c r="J12" s="63" t="str">
        <f>VLOOKUP(4,AA8:AK11,2,FALSE)</f>
        <v>Egypt</v>
      </c>
      <c r="K12" s="64">
        <f>L12+M12+N12</f>
        <v>3</v>
      </c>
      <c r="L12" s="64">
        <f>VLOOKUP(4,AA8:AK11,3,FALSE)</f>
        <v>0</v>
      </c>
      <c r="M12" s="64">
        <f>VLOOKUP(4,AA8:AK11,4,FALSE)</f>
        <v>0</v>
      </c>
      <c r="N12" s="64">
        <f>VLOOKUP(4,AA8:AK11,5,FALSE)</f>
        <v>3</v>
      </c>
      <c r="O12" s="64" t="str">
        <f>VLOOKUP(4,AA8:AK11,6,FALSE) &amp; " - " &amp; VLOOKUP(4,AA8:AK11,7,FALSE)</f>
        <v>2 - 6</v>
      </c>
      <c r="P12" s="65">
        <f>L12*3+M12</f>
        <v>0</v>
      </c>
      <c r="R12" s="101">
        <f>DATE(2018,6,16)+TIME(5,0,0)+gmt_delta</f>
        <v>43267.666666666672</v>
      </c>
      <c r="S12" s="106" t="str">
        <f t="shared" si="2"/>
        <v>Peru_lose</v>
      </c>
      <c r="T12" s="106" t="str">
        <f t="shared" si="3"/>
        <v>Denmark_win</v>
      </c>
      <c r="U12" s="102">
        <f t="shared" si="4"/>
        <v>0</v>
      </c>
      <c r="V12" s="101">
        <f t="shared" si="5"/>
        <v>0</v>
      </c>
      <c r="W12" s="101">
        <f t="shared" si="6"/>
        <v>0</v>
      </c>
      <c r="X12" s="101">
        <f t="shared" si="7"/>
        <v>0</v>
      </c>
      <c r="Y12" s="101">
        <f t="shared" si="9"/>
        <v>-1</v>
      </c>
      <c r="AC12" s="101">
        <f t="shared" ref="AC12:AL12" si="12">MAX(AC8:AC11)-MIN(AC8:AC11)+1</f>
        <v>4</v>
      </c>
      <c r="AD12" s="101">
        <f t="shared" si="12"/>
        <v>1</v>
      </c>
      <c r="AE12" s="101">
        <f t="shared" si="12"/>
        <v>4</v>
      </c>
      <c r="AF12" s="101">
        <f t="shared" si="12"/>
        <v>7</v>
      </c>
      <c r="AG12" s="101">
        <f t="shared" si="12"/>
        <v>8</v>
      </c>
      <c r="AH12" s="101">
        <f>MAX(AH8:AH11)-AH13+1</f>
        <v>11</v>
      </c>
      <c r="AI12" s="101">
        <f>MAX(AI8:AI11)-AI13+1</f>
        <v>11</v>
      </c>
      <c r="AK12" s="101">
        <f t="shared" si="12"/>
        <v>10</v>
      </c>
      <c r="AL12" s="101">
        <f t="shared" si="12"/>
        <v>1</v>
      </c>
      <c r="AM12" s="101"/>
      <c r="AN12" s="101"/>
      <c r="AO12" s="101"/>
      <c r="AP12" s="101"/>
      <c r="AS12" s="101">
        <f>MAX(AS8:AS11)-MIN(AS8:AS11)+1</f>
        <v>1</v>
      </c>
      <c r="AT12" s="101">
        <f>MAX(AT8:AT11)-MIN(AT8:AT11)+1</f>
        <v>1</v>
      </c>
      <c r="AU12" s="101">
        <f>MAX(AU8:AU11)-MIN(AU8:AU11)+1</f>
        <v>1</v>
      </c>
      <c r="AV12" s="101">
        <f>MAX(AV8:AV11)-MIN(AV8:AV11)+1</f>
        <v>1</v>
      </c>
      <c r="AW12" s="101">
        <f>MAX(AW8:AW11)-MIN(AW8:AW11)+1</f>
        <v>1</v>
      </c>
      <c r="BB12" s="27"/>
      <c r="BC12" s="27"/>
      <c r="BD12" s="27"/>
      <c r="BE12" s="27"/>
      <c r="BF12" s="27"/>
      <c r="BG12" s="36"/>
      <c r="BH12" s="27"/>
      <c r="BI12" s="135">
        <v>57</v>
      </c>
      <c r="BJ12" s="30" t="str">
        <f>T58</f>
        <v>Uruguay</v>
      </c>
      <c r="BK12" s="88">
        <v>0</v>
      </c>
      <c r="BL12" s="90"/>
      <c r="BM12" s="31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</row>
    <row r="13" spans="1:79" ht="15" customHeight="1" x14ac:dyDescent="0.25">
      <c r="A13" s="23">
        <v>7</v>
      </c>
      <c r="B13" s="24" t="str">
        <f t="shared" si="0"/>
        <v>Sat</v>
      </c>
      <c r="C13" s="25" t="str">
        <f t="shared" si="1"/>
        <v>Jun 16, 2018</v>
      </c>
      <c r="D13" s="26">
        <f t="shared" si="8"/>
        <v>0.54166666666666663</v>
      </c>
      <c r="E13" s="96" t="str">
        <f>AB26</f>
        <v>Argentina</v>
      </c>
      <c r="F13" s="111">
        <v>1</v>
      </c>
      <c r="G13" s="112">
        <v>1</v>
      </c>
      <c r="H13" s="93" t="str">
        <f>AB27</f>
        <v>Iceland</v>
      </c>
      <c r="J13" s="37"/>
      <c r="K13" s="38"/>
      <c r="L13" s="38"/>
      <c r="M13" s="38"/>
      <c r="N13" s="38"/>
      <c r="O13" s="38"/>
      <c r="P13" s="38"/>
      <c r="R13" s="101">
        <f>DATE(2018,6,16)+TIME(2,0,0)+gmt_delta</f>
        <v>43267.541666666672</v>
      </c>
      <c r="S13" s="106" t="str">
        <f t="shared" si="2"/>
        <v>Argentina_draw</v>
      </c>
      <c r="T13" s="106" t="str">
        <f t="shared" si="3"/>
        <v>Iceland_draw</v>
      </c>
      <c r="U13" s="102">
        <f t="shared" si="4"/>
        <v>0</v>
      </c>
      <c r="V13" s="101">
        <f t="shared" si="5"/>
        <v>0</v>
      </c>
      <c r="W13" s="101">
        <f t="shared" si="6"/>
        <v>0</v>
      </c>
      <c r="X13" s="101">
        <f t="shared" si="7"/>
        <v>1</v>
      </c>
      <c r="Y13" s="101">
        <f t="shared" si="9"/>
        <v>0</v>
      </c>
      <c r="AH13" s="101">
        <f>MIN(AH8:AH11)</f>
        <v>-4</v>
      </c>
      <c r="AI13" s="101">
        <f>MIN(AI8:AI11)</f>
        <v>-5</v>
      </c>
      <c r="AO13" s="101"/>
      <c r="AP13" s="101"/>
      <c r="BB13" s="27" t="str">
        <f>INDEX(T,24+MONTH(R59),lang) &amp; " " &amp; DAY(R59) &amp; ", " &amp; YEAR(R59) &amp; "   " &amp; (IF(HOUR(R59)&lt;10,0,"") &amp; HOUR(R59)) &amp; ":" &amp; (IF(MINUTE(R59)&lt;10,0,"") &amp; MINUTE(R59))</f>
        <v>Jun 30, 2018   14:00</v>
      </c>
      <c r="BC13" s="27"/>
      <c r="BD13" s="27"/>
      <c r="BE13" s="27"/>
      <c r="BF13" s="35"/>
      <c r="BG13" s="36"/>
      <c r="BH13" s="39"/>
      <c r="BI13" s="136"/>
      <c r="BJ13" s="32" t="str">
        <f>T59</f>
        <v>France</v>
      </c>
      <c r="BK13" s="89">
        <v>2</v>
      </c>
      <c r="BL13" s="91"/>
      <c r="BM13" s="33"/>
      <c r="BN13" s="34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</row>
    <row r="14" spans="1:79" ht="15" customHeight="1" x14ac:dyDescent="0.25">
      <c r="A14" s="23">
        <v>8</v>
      </c>
      <c r="B14" s="24" t="str">
        <f t="shared" si="0"/>
        <v>Sat</v>
      </c>
      <c r="C14" s="25" t="str">
        <f t="shared" si="1"/>
        <v>Jun 16, 2018</v>
      </c>
      <c r="D14" s="26">
        <f t="shared" si="8"/>
        <v>0.79166666666666663</v>
      </c>
      <c r="E14" s="96" t="str">
        <f>AB28</f>
        <v>Croatia</v>
      </c>
      <c r="F14" s="111">
        <v>2</v>
      </c>
      <c r="G14" s="112">
        <v>0</v>
      </c>
      <c r="H14" s="93" t="str">
        <f>AB29</f>
        <v>Nigeria</v>
      </c>
      <c r="J14" s="66" t="str">
        <f>INDEX(T,9,lang) &amp; " " &amp; "B"</f>
        <v>Group B</v>
      </c>
      <c r="K14" s="67" t="str">
        <f>INDEX(T,10,lang)</f>
        <v>PL</v>
      </c>
      <c r="L14" s="67" t="str">
        <f>INDEX(T,11,lang)</f>
        <v>W</v>
      </c>
      <c r="M14" s="67" t="str">
        <f>INDEX(T,12,lang)</f>
        <v>DRAW</v>
      </c>
      <c r="N14" s="67" t="str">
        <f>INDEX(T,13,lang)</f>
        <v>L</v>
      </c>
      <c r="O14" s="67" t="str">
        <f>INDEX(T,14,lang)</f>
        <v>GF - GA</v>
      </c>
      <c r="P14" s="68" t="str">
        <f>INDEX(T,15,lang)</f>
        <v>PNT</v>
      </c>
      <c r="R14" s="101">
        <f>DATE(2018,6,16)+TIME(8,0,0)+gmt_delta</f>
        <v>43267.791666666672</v>
      </c>
      <c r="S14" s="106" t="str">
        <f t="shared" si="2"/>
        <v>Croatia_win</v>
      </c>
      <c r="T14" s="106" t="str">
        <f t="shared" si="3"/>
        <v>Nigeria_lose</v>
      </c>
      <c r="U14" s="102">
        <f t="shared" si="4"/>
        <v>0</v>
      </c>
      <c r="V14" s="101">
        <f t="shared" si="5"/>
        <v>0</v>
      </c>
      <c r="W14" s="101">
        <f t="shared" si="6"/>
        <v>0</v>
      </c>
      <c r="X14" s="101">
        <f t="shared" si="7"/>
        <v>0</v>
      </c>
      <c r="Y14" s="101">
        <f t="shared" si="9"/>
        <v>1</v>
      </c>
      <c r="AA14" s="101">
        <f>COUNTIF(AQ14:AQ17,CONCATENATE("&gt;=",AQ14))</f>
        <v>2</v>
      </c>
      <c r="AB14" s="102" t="str">
        <f>VLOOKUP("Portugal",T,lang,FALSE)</f>
        <v>Portugal</v>
      </c>
      <c r="AC14" s="101">
        <f>COUNTIF($S$7:$T$54,"=" &amp; AB14 &amp; "_win")</f>
        <v>1</v>
      </c>
      <c r="AD14" s="101">
        <f>COUNTIF($S$7:$T$54,"=" &amp; AB14 &amp; "_draw")</f>
        <v>2</v>
      </c>
      <c r="AE14" s="101">
        <f>COUNTIF($S$7:$T$54,"=" &amp; AB14 &amp; "_lose")</f>
        <v>0</v>
      </c>
      <c r="AF14" s="101">
        <f>SUMIF($E$7:$E$54,$AB14,$F$7:$F$54) + SUMIF($H$7:$H$54,$AB14,$G$7:$G$54)</f>
        <v>5</v>
      </c>
      <c r="AG14" s="101">
        <f>SUMIF($E$7:$E$54,$AB14,$G$7:$G$54) + SUMIF($H$7:$H$54,$AB14,$F$7:$F$54)</f>
        <v>4</v>
      </c>
      <c r="AH14" s="101">
        <f>(AF14-AG14)*100+AK14*10000+AF14</f>
        <v>50105</v>
      </c>
      <c r="AI14" s="101">
        <f>AF14-AG14</f>
        <v>1</v>
      </c>
      <c r="AJ14" s="101">
        <f>(AI14-AI19)/AI18</f>
        <v>0.75</v>
      </c>
      <c r="AK14" s="101">
        <f>AC14*3+AD14</f>
        <v>5</v>
      </c>
      <c r="AL14" s="101">
        <f>AS14/AS18*1000+AT14/AT18*100+AW14/AW18*10+AU14/AU18</f>
        <v>0</v>
      </c>
      <c r="AM14" s="101">
        <f>VLOOKUP(AB14,fair_play,2,FALSE)</f>
        <v>-6</v>
      </c>
      <c r="AN14" s="101">
        <f>COUNTIF($AM$14:$AM$17,CONCATENATE("&lt;=",AM14))</f>
        <v>2</v>
      </c>
      <c r="AO14" s="101">
        <f>VLOOKUP(AB14,fair_play,3,FALSE)</f>
        <v>22</v>
      </c>
      <c r="AP14" s="101">
        <f>COUNTIF($AO$14:$AO$17,CONCATENATE("&gt;=",AO14))</f>
        <v>2</v>
      </c>
      <c r="AQ14" s="102">
        <f>1000*AK14/AK18+100*AJ14+10*AF14/AF18+1*AL14/AL18+0.00001*AN14+0.000001*AP14</f>
        <v>1085.0000219999999</v>
      </c>
      <c r="AR14" s="103" t="str">
        <f>IF(SUM(AC14:AE17)=12,J15,INDEX(T,72,lang))</f>
        <v>Spain</v>
      </c>
      <c r="AS14" s="104">
        <f>SUMPRODUCT(($S$7:$S$54=AB14&amp;"_win")*($U$7:$U$54))+SUMPRODUCT(($T$7:$T$54=AB14&amp;"_win")*($U$7:$U$54))</f>
        <v>0</v>
      </c>
      <c r="AT14" s="105">
        <f>SUMPRODUCT(($S$7:$S$54=AB14&amp;"_draw")*($U$7:$U$54))+SUMPRODUCT(($T$7:$T$54=AB14&amp;"_draw")*($U$7:$U$54))</f>
        <v>0</v>
      </c>
      <c r="AU14" s="105">
        <f>SUMPRODUCT(($E$7:$E$54=AB14)*($U$7:$U$54)*($F$7:$F$54))+SUMPRODUCT(($H$7:$H$54=AB14)*($U$7:$U$54)*($G$7:$G$54))</f>
        <v>0</v>
      </c>
      <c r="AV14" s="105">
        <f>SUMPRODUCT(($E$7:$E$54=AB14)*($U$7:$U$54)*($G$7:$G$54))+SUMPRODUCT(($H$7:$H$54=AB14)*($U$7:$U$54)*($F$7:$F$54))</f>
        <v>0</v>
      </c>
      <c r="AW14" s="105">
        <f>AU14-AV14</f>
        <v>0</v>
      </c>
      <c r="BB14" s="135">
        <v>50</v>
      </c>
      <c r="BC14" s="30" t="str">
        <f>AR20</f>
        <v>France</v>
      </c>
      <c r="BD14" s="88">
        <v>4</v>
      </c>
      <c r="BE14" s="90"/>
      <c r="BF14" s="31"/>
      <c r="BG14" s="40"/>
      <c r="BH14" s="27"/>
      <c r="BI14" s="27"/>
      <c r="BJ14" s="27"/>
      <c r="BK14" s="27"/>
      <c r="BL14" s="27"/>
      <c r="BM14" s="27"/>
      <c r="BN14" s="36"/>
      <c r="BO14" s="27"/>
      <c r="BP14" s="27"/>
      <c r="BQ14" s="27"/>
      <c r="BR14" s="27"/>
      <c r="BS14" s="27"/>
      <c r="BT14" s="35"/>
      <c r="BU14" s="27"/>
      <c r="BV14" s="27"/>
      <c r="BW14" s="27"/>
      <c r="BX14" s="27"/>
      <c r="BY14" s="27"/>
      <c r="BZ14" s="27"/>
      <c r="CA14" s="27"/>
    </row>
    <row r="15" spans="1:79" ht="15" customHeight="1" x14ac:dyDescent="0.25">
      <c r="A15" s="23">
        <v>9</v>
      </c>
      <c r="B15" s="24" t="str">
        <f t="shared" si="0"/>
        <v>Sun</v>
      </c>
      <c r="C15" s="25" t="str">
        <f t="shared" si="1"/>
        <v>Jun 17, 2018</v>
      </c>
      <c r="D15" s="26">
        <f t="shared" si="8"/>
        <v>0.75</v>
      </c>
      <c r="E15" s="96" t="str">
        <f>AB32</f>
        <v>Brazil</v>
      </c>
      <c r="F15" s="111">
        <v>1</v>
      </c>
      <c r="G15" s="112">
        <v>1</v>
      </c>
      <c r="H15" s="93" t="str">
        <f>AB33</f>
        <v>Switzerland</v>
      </c>
      <c r="J15" s="58" t="str">
        <f>VLOOKUP(1,AA14:AK17,2,FALSE)</f>
        <v>Spain</v>
      </c>
      <c r="K15" s="59">
        <f>L15+M15+N15</f>
        <v>3</v>
      </c>
      <c r="L15" s="59">
        <f>VLOOKUP(1,AA14:AK17,3,FALSE)</f>
        <v>1</v>
      </c>
      <c r="M15" s="59">
        <f>VLOOKUP(1,AA14:AK17,4,FALSE)</f>
        <v>2</v>
      </c>
      <c r="N15" s="59">
        <f>VLOOKUP(1,AA14:AK17,5,FALSE)</f>
        <v>0</v>
      </c>
      <c r="O15" s="59" t="str">
        <f>VLOOKUP(1,AA14:AK17,6,FALSE) &amp; " - " &amp; VLOOKUP(1,AA14:AK17,7,FALSE)</f>
        <v>6 - 5</v>
      </c>
      <c r="P15" s="60">
        <f>L15*3+M15</f>
        <v>5</v>
      </c>
      <c r="R15" s="101">
        <f>DATE(2018,6,17)+TIME(7,0,0)+gmt_delta</f>
        <v>43268.75</v>
      </c>
      <c r="S15" s="106" t="str">
        <f t="shared" si="2"/>
        <v>Brazil_draw</v>
      </c>
      <c r="T15" s="106" t="str">
        <f t="shared" si="3"/>
        <v>Switzerland_draw</v>
      </c>
      <c r="U15" s="102">
        <f t="shared" si="4"/>
        <v>0</v>
      </c>
      <c r="V15" s="101">
        <f t="shared" si="5"/>
        <v>0</v>
      </c>
      <c r="W15" s="101">
        <f t="shared" si="6"/>
        <v>0</v>
      </c>
      <c r="X15" s="101">
        <f t="shared" si="7"/>
        <v>0</v>
      </c>
      <c r="Y15" s="101">
        <f t="shared" si="9"/>
        <v>0</v>
      </c>
      <c r="AA15" s="101">
        <f>COUNTIF(AQ14:AQ17,CONCATENATE("&gt;=",AQ15))</f>
        <v>1</v>
      </c>
      <c r="AB15" s="102" t="str">
        <f>VLOOKUP("Spain",T,lang,FALSE)</f>
        <v>Spain</v>
      </c>
      <c r="AC15" s="101">
        <f>COUNTIF($S$7:$T$54,"=" &amp; AB15 &amp; "_win")</f>
        <v>1</v>
      </c>
      <c r="AD15" s="101">
        <f>COUNTIF($S$7:$T$54,"=" &amp; AB15 &amp; "_draw")</f>
        <v>2</v>
      </c>
      <c r="AE15" s="101">
        <f>COUNTIF($S$7:$T$54,"=" &amp; AB15 &amp; "_lose")</f>
        <v>0</v>
      </c>
      <c r="AF15" s="101">
        <f>SUMIF($E$7:$E$54,$AB15,$F$7:$F$54) + SUMIF($H$7:$H$54,$AB15,$G$7:$G$54)</f>
        <v>6</v>
      </c>
      <c r="AG15" s="101">
        <f>SUMIF($E$7:$E$54,$AB15,$G$7:$G$54) + SUMIF($H$7:$H$54,$AB15,$F$7:$F$54)</f>
        <v>5</v>
      </c>
      <c r="AH15" s="101">
        <f>(AF15-AG15)*100+AK15*10000+AF15</f>
        <v>50106</v>
      </c>
      <c r="AI15" s="101">
        <f>AF15-AG15</f>
        <v>1</v>
      </c>
      <c r="AJ15" s="101">
        <f>(AI15-AI19)/AI18</f>
        <v>0.75</v>
      </c>
      <c r="AK15" s="101">
        <f>AC15*3+AD15</f>
        <v>5</v>
      </c>
      <c r="AL15" s="101">
        <f>AS15/AS18*1000+AT15/AT18*100+AW15/AW18*10+AU15/AU18</f>
        <v>0</v>
      </c>
      <c r="AM15" s="101">
        <f>VLOOKUP(AB15,fair_play,2,FALSE)</f>
        <v>-1</v>
      </c>
      <c r="AN15" s="101">
        <f t="shared" ref="AN15:AN17" si="13">COUNTIF($AM$14:$AM$17,CONCATENATE("&lt;=",AM15))</f>
        <v>4</v>
      </c>
      <c r="AO15" s="101">
        <f>VLOOKUP(AB15,fair_play,3,FALSE)</f>
        <v>27</v>
      </c>
      <c r="AP15" s="101">
        <f t="shared" ref="AP15:AP17" si="14">COUNTIF($AO$14:$AO$17,CONCATENATE("&gt;=",AO15))</f>
        <v>1</v>
      </c>
      <c r="AQ15" s="102">
        <f>1000*AK15/AK18+100*AJ15+10*AF15/AF18+1*AL15/AL18+0.00001*AN15+0.000001*AP15</f>
        <v>1087.000041</v>
      </c>
      <c r="AR15" s="103" t="str">
        <f>IF(SUM(AC14:AE17)=12,J16,INDEX(T,73,lang))</f>
        <v>Portugal</v>
      </c>
      <c r="AS15" s="104">
        <f>SUMPRODUCT(($S$7:$S$54=AB15&amp;"_win")*($U$7:$U$54))+SUMPRODUCT(($T$7:$T$54=AB15&amp;"_win")*($U$7:$U$54))</f>
        <v>0</v>
      </c>
      <c r="AT15" s="105">
        <f>SUMPRODUCT(($S$7:$S$54=AB15&amp;"_draw")*($U$7:$U$54))+SUMPRODUCT(($T$7:$T$54=AB15&amp;"_draw")*($U$7:$U$54))</f>
        <v>0</v>
      </c>
      <c r="AU15" s="105">
        <f>SUMPRODUCT(($E$7:$E$54=AB15)*($U$7:$U$54)*($F$7:$F$54))+SUMPRODUCT(($H$7:$H$54=AB15)*($U$7:$U$54)*($G$7:$G$54))</f>
        <v>0</v>
      </c>
      <c r="AV15" s="105">
        <f>SUMPRODUCT(($E$7:$E$54=AB15)*($U$7:$U$54)*($G$7:$G$54))+SUMPRODUCT(($H$7:$H$54=AB15)*($U$7:$U$54)*($F$7:$F$54))</f>
        <v>0</v>
      </c>
      <c r="AW15" s="105">
        <f>AU15-AV15</f>
        <v>0</v>
      </c>
      <c r="BB15" s="136"/>
      <c r="BC15" s="32" t="str">
        <f>AR27</f>
        <v>Argentina</v>
      </c>
      <c r="BD15" s="89">
        <v>3</v>
      </c>
      <c r="BE15" s="91"/>
      <c r="BF15" s="33"/>
      <c r="BG15" s="27"/>
      <c r="BH15" s="27"/>
      <c r="BI15" s="27"/>
      <c r="BJ15" s="27"/>
      <c r="BK15" s="27"/>
      <c r="BL15" s="27"/>
      <c r="BM15" s="27"/>
      <c r="BN15" s="36"/>
      <c r="BO15" s="27"/>
      <c r="BP15" s="27" t="str">
        <f>INDEX(T,24+MONTH(R76),lang) &amp; " " &amp; DAY(R76) &amp; ", " &amp; YEAR(R76) &amp; "   " &amp; (IF(HOUR(R76)&lt;10,0,"") &amp; HOUR(R76)) &amp; ":" &amp; (IF(MINUTE(R76)&lt;10,0,"") &amp; MINUTE(R76))</f>
        <v>Jul 10, 2018   18:00</v>
      </c>
      <c r="BQ15" s="27"/>
      <c r="BR15" s="27"/>
      <c r="BS15" s="27"/>
      <c r="BT15" s="35"/>
      <c r="BU15" s="27"/>
      <c r="BV15" s="27"/>
      <c r="BW15" s="27"/>
      <c r="BX15" s="27"/>
      <c r="BY15" s="27"/>
      <c r="BZ15" s="27"/>
      <c r="CA15" s="27"/>
    </row>
    <row r="16" spans="1:79" ht="15" customHeight="1" x14ac:dyDescent="0.25">
      <c r="A16" s="23">
        <v>10</v>
      </c>
      <c r="B16" s="24" t="str">
        <f t="shared" si="0"/>
        <v>Sun</v>
      </c>
      <c r="C16" s="25" t="str">
        <f t="shared" si="1"/>
        <v>Jun 17, 2018</v>
      </c>
      <c r="D16" s="26">
        <f t="shared" si="8"/>
        <v>0.5</v>
      </c>
      <c r="E16" s="96" t="str">
        <f>AB34</f>
        <v>Costa Rica</v>
      </c>
      <c r="F16" s="111">
        <v>0</v>
      </c>
      <c r="G16" s="112">
        <v>1</v>
      </c>
      <c r="H16" s="93" t="str">
        <f>AB35</f>
        <v>Serbia</v>
      </c>
      <c r="J16" s="61" t="str">
        <f>VLOOKUP(2,AA14:AK17,2,FALSE)</f>
        <v>Portugal</v>
      </c>
      <c r="K16" s="29">
        <f>L16+M16+N16</f>
        <v>3</v>
      </c>
      <c r="L16" s="29">
        <f>VLOOKUP(2,AA14:AK17,3,FALSE)</f>
        <v>1</v>
      </c>
      <c r="M16" s="29">
        <f>VLOOKUP(2,AA14:AK17,4,FALSE)</f>
        <v>2</v>
      </c>
      <c r="N16" s="29">
        <f>VLOOKUP(2,AA14:AK17,5,FALSE)</f>
        <v>0</v>
      </c>
      <c r="O16" s="29" t="str">
        <f>VLOOKUP(2,AA14:AK17,6,FALSE) &amp; " - " &amp; VLOOKUP(2,AA14:AK17,7,FALSE)</f>
        <v>5 - 4</v>
      </c>
      <c r="P16" s="62">
        <f>L16*3+M16</f>
        <v>5</v>
      </c>
      <c r="R16" s="101">
        <f>DATE(2018,6,17)+TIME(1,0,0)+gmt_delta</f>
        <v>43268.5</v>
      </c>
      <c r="S16" s="106" t="str">
        <f t="shared" si="2"/>
        <v>Costa Rica_lose</v>
      </c>
      <c r="T16" s="106" t="str">
        <f t="shared" si="3"/>
        <v>Serbia_win</v>
      </c>
      <c r="U16" s="102">
        <f t="shared" si="4"/>
        <v>0</v>
      </c>
      <c r="V16" s="101">
        <f t="shared" si="5"/>
        <v>0</v>
      </c>
      <c r="W16" s="101">
        <f t="shared" si="6"/>
        <v>0</v>
      </c>
      <c r="X16" s="101">
        <f t="shared" si="7"/>
        <v>0</v>
      </c>
      <c r="Y16" s="101">
        <f t="shared" si="9"/>
        <v>-1</v>
      </c>
      <c r="AA16" s="101">
        <f>COUNTIF(AQ14:AQ17,CONCATENATE("&gt;=",AQ16))</f>
        <v>4</v>
      </c>
      <c r="AB16" s="102" t="str">
        <f>VLOOKUP("Morocco",T,lang,FALSE)</f>
        <v>Morocco</v>
      </c>
      <c r="AC16" s="101">
        <f>COUNTIF($S$7:$T$54,"=" &amp; AB16 &amp; "_win")</f>
        <v>0</v>
      </c>
      <c r="AD16" s="101">
        <f>COUNTIF($S$7:$T$54,"=" &amp; AB16 &amp; "_draw")</f>
        <v>1</v>
      </c>
      <c r="AE16" s="101">
        <f>COUNTIF($S$7:$T$54,"=" &amp; AB16 &amp; "_lose")</f>
        <v>2</v>
      </c>
      <c r="AF16" s="101">
        <f>SUMIF($E$7:$E$54,$AB16,$F$7:$F$54) + SUMIF($H$7:$H$54,$AB16,$G$7:$G$54)</f>
        <v>2</v>
      </c>
      <c r="AG16" s="101">
        <f>SUMIF($E$7:$E$54,$AB16,$G$7:$G$54) + SUMIF($H$7:$H$54,$AB16,$F$7:$F$54)</f>
        <v>4</v>
      </c>
      <c r="AH16" s="101">
        <f>(AF16-AG16)*100+AK16*10000+AF16</f>
        <v>9802</v>
      </c>
      <c r="AI16" s="101">
        <f>AF16-AG16</f>
        <v>-2</v>
      </c>
      <c r="AJ16" s="101">
        <f>(AI16-AI19)/AI18</f>
        <v>0</v>
      </c>
      <c r="AK16" s="101">
        <f>AC16*3+AD16</f>
        <v>1</v>
      </c>
      <c r="AL16" s="101">
        <f>AS16/AS18*1000+AT16/AT18*100+AW16/AW18*10+AU16/AU18</f>
        <v>0</v>
      </c>
      <c r="AM16" s="101">
        <f>VLOOKUP(AB16,fair_play,2,FALSE)</f>
        <v>-4</v>
      </c>
      <c r="AN16" s="101">
        <f t="shared" si="13"/>
        <v>3</v>
      </c>
      <c r="AO16" s="101">
        <f>VLOOKUP(AB16,fair_play,3,FALSE)</f>
        <v>17</v>
      </c>
      <c r="AP16" s="101">
        <f t="shared" si="14"/>
        <v>3</v>
      </c>
      <c r="AQ16" s="102">
        <f>1000*AK16/AK18+100*AJ16+10*AF16/AF18+1*AL16/AL18+0.00001*AN16+0.000001*AP16</f>
        <v>204.000033</v>
      </c>
      <c r="AS16" s="104">
        <f>SUMPRODUCT(($S$7:$S$54=AB16&amp;"_win")*($U$7:$U$54))+SUMPRODUCT(($T$7:$T$54=AB16&amp;"_win")*($U$7:$U$54))</f>
        <v>0</v>
      </c>
      <c r="AT16" s="105">
        <f>SUMPRODUCT(($S$7:$S$54=AB16&amp;"_draw")*($U$7:$U$54))+SUMPRODUCT(($T$7:$T$54=AB16&amp;"_draw")*($U$7:$U$54))</f>
        <v>0</v>
      </c>
      <c r="AU16" s="105">
        <f>SUMPRODUCT(($E$7:$E$54=AB16)*($U$7:$U$54)*($F$7:$F$54))+SUMPRODUCT(($H$7:$H$54=AB16)*($U$7:$U$54)*($G$7:$G$54))</f>
        <v>0</v>
      </c>
      <c r="AV16" s="105">
        <f>SUMPRODUCT(($E$7:$E$54=AB16)*($U$7:$U$54)*($G$7:$G$54))+SUMPRODUCT(($H$7:$H$54=AB16)*($U$7:$U$54)*($F$7:$F$54))</f>
        <v>0</v>
      </c>
      <c r="AW16" s="105">
        <f>AU16-AV16</f>
        <v>0</v>
      </c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36"/>
      <c r="BO16" s="27"/>
      <c r="BP16" s="135">
        <v>61</v>
      </c>
      <c r="BQ16" s="30" t="str">
        <f>T69</f>
        <v>France</v>
      </c>
      <c r="BR16" s="88">
        <v>1</v>
      </c>
      <c r="BS16" s="90"/>
      <c r="BT16" s="31"/>
      <c r="BU16" s="27"/>
      <c r="BV16" s="41"/>
      <c r="BW16" s="27"/>
      <c r="BX16" s="27"/>
      <c r="BY16" s="27"/>
      <c r="BZ16" s="27"/>
      <c r="CA16" s="27"/>
    </row>
    <row r="17" spans="1:79" ht="15" customHeight="1" x14ac:dyDescent="0.25">
      <c r="A17" s="23">
        <v>11</v>
      </c>
      <c r="B17" s="24" t="str">
        <f t="shared" si="0"/>
        <v>Sun</v>
      </c>
      <c r="C17" s="25" t="str">
        <f t="shared" si="1"/>
        <v>Jun 17, 2018</v>
      </c>
      <c r="D17" s="26">
        <f t="shared" si="8"/>
        <v>0.625</v>
      </c>
      <c r="E17" s="96" t="str">
        <f>AB38</f>
        <v>Germany</v>
      </c>
      <c r="F17" s="111">
        <v>0</v>
      </c>
      <c r="G17" s="112">
        <v>1</v>
      </c>
      <c r="H17" s="93" t="str">
        <f>AB39</f>
        <v>Mexico</v>
      </c>
      <c r="J17" s="61" t="str">
        <f>VLOOKUP(3,AA14:AK17,2,FALSE)</f>
        <v>Iran</v>
      </c>
      <c r="K17" s="29">
        <f>L17+M17+N17</f>
        <v>3</v>
      </c>
      <c r="L17" s="29">
        <f>VLOOKUP(3,AA14:AK17,3,FALSE)</f>
        <v>1</v>
      </c>
      <c r="M17" s="29">
        <f>VLOOKUP(3,AA14:AK17,4,FALSE)</f>
        <v>1</v>
      </c>
      <c r="N17" s="29">
        <f>VLOOKUP(3,AA14:AK17,5,FALSE)</f>
        <v>1</v>
      </c>
      <c r="O17" s="29" t="str">
        <f>VLOOKUP(3,AA14:AK17,6,FALSE) &amp; " - " &amp; VLOOKUP(3,AA14:AK17,7,FALSE)</f>
        <v>2 - 2</v>
      </c>
      <c r="P17" s="62">
        <f>L17*3+M17</f>
        <v>4</v>
      </c>
      <c r="R17" s="101">
        <f>DATE(2018,6,17)+TIME(4,0,0)+gmt_delta</f>
        <v>43268.625</v>
      </c>
      <c r="S17" s="106" t="str">
        <f t="shared" si="2"/>
        <v>Germany_lose</v>
      </c>
      <c r="T17" s="106" t="str">
        <f t="shared" si="3"/>
        <v>Mexico_win</v>
      </c>
      <c r="U17" s="102">
        <f t="shared" si="4"/>
        <v>0</v>
      </c>
      <c r="V17" s="101">
        <f t="shared" si="5"/>
        <v>0</v>
      </c>
      <c r="W17" s="101">
        <f t="shared" si="6"/>
        <v>0</v>
      </c>
      <c r="X17" s="101">
        <f t="shared" si="7"/>
        <v>0</v>
      </c>
      <c r="Y17" s="101">
        <f t="shared" si="9"/>
        <v>-1</v>
      </c>
      <c r="AA17" s="101">
        <f>COUNTIF(AQ14:AQ17,CONCATENATE("&gt;=",AQ17))</f>
        <v>3</v>
      </c>
      <c r="AB17" s="102" t="str">
        <f>VLOOKUP("Iran",T,lang,FALSE)</f>
        <v>Iran</v>
      </c>
      <c r="AC17" s="101">
        <f>COUNTIF($S$7:$T$54,"=" &amp; AB17 &amp; "_win")</f>
        <v>1</v>
      </c>
      <c r="AD17" s="101">
        <f>COUNTIF($S$7:$T$54,"=" &amp; AB17 &amp; "_draw")</f>
        <v>1</v>
      </c>
      <c r="AE17" s="101">
        <f>COUNTIF($S$7:$T$54,"=" &amp; AB17 &amp; "_lose")</f>
        <v>1</v>
      </c>
      <c r="AF17" s="101">
        <f>SUMIF($E$7:$E$54,$AB17,$F$7:$F$54) + SUMIF($H$7:$H$54,$AB17,$G$7:$G$54)</f>
        <v>2</v>
      </c>
      <c r="AG17" s="101">
        <f>SUMIF($E$7:$E$54,$AB17,$G$7:$G$54) + SUMIF($H$7:$H$54,$AB17,$F$7:$F$54)</f>
        <v>2</v>
      </c>
      <c r="AH17" s="101">
        <f>(AF17-AG17)*100+AK17*10000+AF17</f>
        <v>40002</v>
      </c>
      <c r="AI17" s="101">
        <f>AF17-AG17</f>
        <v>0</v>
      </c>
      <c r="AJ17" s="101">
        <f>(AI17-AI19)/AI18</f>
        <v>0.5</v>
      </c>
      <c r="AK17" s="101">
        <f>AC17*3+AD17</f>
        <v>4</v>
      </c>
      <c r="AL17" s="101">
        <f>AS17/AS18*1000+AT17/AT18*100+AW17/AW18*10+AU17/AU18</f>
        <v>0</v>
      </c>
      <c r="AM17" s="101">
        <f>VLOOKUP(AB17,fair_play,2,FALSE)</f>
        <v>-7</v>
      </c>
      <c r="AN17" s="101">
        <f t="shared" si="13"/>
        <v>1</v>
      </c>
      <c r="AO17" s="101">
        <f>VLOOKUP(AB17,fair_play,3,FALSE)</f>
        <v>13</v>
      </c>
      <c r="AP17" s="101">
        <f t="shared" si="14"/>
        <v>4</v>
      </c>
      <c r="AQ17" s="102">
        <f>1000*AK17/AK18+100*AJ17+10*AF17/AF18+1*AL17/AL18+0.00001*AN17+0.000001*AP17</f>
        <v>854.00001399999996</v>
      </c>
      <c r="AS17" s="104">
        <f>SUMPRODUCT(($S$7:$S$54=AB17&amp;"_win")*($U$7:$U$54))+SUMPRODUCT(($T$7:$T$54=AB17&amp;"_win")*($U$7:$U$54))</f>
        <v>0</v>
      </c>
      <c r="AT17" s="105">
        <f>SUMPRODUCT(($S$7:$S$54=AB17&amp;"_draw")*($U$7:$U$54))+SUMPRODUCT(($T$7:$T$54=AB17&amp;"_draw")*($U$7:$U$54))</f>
        <v>0</v>
      </c>
      <c r="AU17" s="105">
        <f>SUMPRODUCT(($E$7:$E$54=AB17)*($U$7:$U$54)*($F$7:$F$54))+SUMPRODUCT(($H$7:$H$54=AB17)*($U$7:$U$54)*($G$7:$G$54))</f>
        <v>0</v>
      </c>
      <c r="AV17" s="105">
        <f>SUMPRODUCT(($E$7:$E$54=AB17)*($U$7:$U$54)*($G$7:$G$54))+SUMPRODUCT(($H$7:$H$54=AB17)*($U$7:$U$54)*($F$7:$F$54))</f>
        <v>0</v>
      </c>
      <c r="AW17" s="105">
        <f>AU17-AV17</f>
        <v>0</v>
      </c>
      <c r="BB17" s="27" t="str">
        <f>INDEX(T,24+MONTH(R62),lang) &amp; " " &amp; DAY(R62) &amp; ", " &amp; YEAR(R62) &amp; "   " &amp; (IF(HOUR(R62)&lt;10,0,"") &amp; HOUR(R62)) &amp; ":" &amp; (IF(MINUTE(R62)&lt;10,0,"") &amp; MINUTE(R62))</f>
        <v>Jul 2, 2018   14:00</v>
      </c>
      <c r="BC17" s="27"/>
      <c r="BD17" s="27"/>
      <c r="BE17" s="27"/>
      <c r="BF17" s="35"/>
      <c r="BG17" s="27"/>
      <c r="BH17" s="27"/>
      <c r="BI17" s="27"/>
      <c r="BJ17" s="27"/>
      <c r="BK17" s="27"/>
      <c r="BL17" s="27"/>
      <c r="BM17" s="27"/>
      <c r="BN17" s="36"/>
      <c r="BO17" s="39"/>
      <c r="BP17" s="136"/>
      <c r="BQ17" s="32" t="str">
        <f>T70</f>
        <v>Belgium</v>
      </c>
      <c r="BR17" s="89">
        <v>0</v>
      </c>
      <c r="BS17" s="91"/>
      <c r="BT17" s="33"/>
      <c r="BU17" s="34"/>
      <c r="BV17" s="42"/>
      <c r="BW17" s="27"/>
      <c r="BX17" s="27"/>
      <c r="BY17" s="27"/>
      <c r="BZ17" s="27"/>
      <c r="CA17" s="27"/>
    </row>
    <row r="18" spans="1:79" ht="15" customHeight="1" x14ac:dyDescent="0.25">
      <c r="A18" s="23">
        <v>12</v>
      </c>
      <c r="B18" s="24" t="str">
        <f t="shared" si="0"/>
        <v>Mon</v>
      </c>
      <c r="C18" s="25" t="str">
        <f t="shared" si="1"/>
        <v>Jun 18, 2018</v>
      </c>
      <c r="D18" s="26">
        <f t="shared" si="8"/>
        <v>0.5</v>
      </c>
      <c r="E18" s="96" t="str">
        <f>AB40</f>
        <v>Sweden</v>
      </c>
      <c r="F18" s="111">
        <v>1</v>
      </c>
      <c r="G18" s="112">
        <v>0</v>
      </c>
      <c r="H18" s="93" t="str">
        <f>AB41</f>
        <v>Korea Republic</v>
      </c>
      <c r="J18" s="63" t="str">
        <f>VLOOKUP(4,AA14:AK17,2,FALSE)</f>
        <v>Morocco</v>
      </c>
      <c r="K18" s="64">
        <f>L18+M18+N18</f>
        <v>3</v>
      </c>
      <c r="L18" s="64">
        <f>VLOOKUP(4,AA14:AK17,3,FALSE)</f>
        <v>0</v>
      </c>
      <c r="M18" s="64">
        <f>VLOOKUP(4,AA14:AK17,4,FALSE)</f>
        <v>1</v>
      </c>
      <c r="N18" s="64">
        <f>VLOOKUP(4,AA14:AK17,5,FALSE)</f>
        <v>2</v>
      </c>
      <c r="O18" s="64" t="str">
        <f>VLOOKUP(4,AA14:AK17,6,FALSE) &amp; " - " &amp; VLOOKUP(4,AA14:AK17,7,FALSE)</f>
        <v>2 - 4</v>
      </c>
      <c r="P18" s="65">
        <f>L18*3+M18</f>
        <v>1</v>
      </c>
      <c r="R18" s="101">
        <f>DATE(2018,6,18)+TIME(1,0,0)+gmt_delta</f>
        <v>43269.5</v>
      </c>
      <c r="S18" s="106" t="str">
        <f t="shared" si="2"/>
        <v>Sweden_win</v>
      </c>
      <c r="T18" s="106" t="str">
        <f t="shared" si="3"/>
        <v>Korea Republic_lose</v>
      </c>
      <c r="U18" s="102">
        <f t="shared" si="4"/>
        <v>0</v>
      </c>
      <c r="V18" s="101">
        <f t="shared" si="5"/>
        <v>0</v>
      </c>
      <c r="W18" s="101">
        <f t="shared" si="6"/>
        <v>0</v>
      </c>
      <c r="X18" s="101">
        <f t="shared" si="7"/>
        <v>0</v>
      </c>
      <c r="Y18" s="101">
        <f t="shared" si="9"/>
        <v>1</v>
      </c>
      <c r="AC18" s="101">
        <f t="shared" ref="AC18:AL18" si="15">MAX(AC14:AC17)-MIN(AC14:AC17)+1</f>
        <v>2</v>
      </c>
      <c r="AD18" s="101">
        <f t="shared" si="15"/>
        <v>2</v>
      </c>
      <c r="AE18" s="101">
        <f t="shared" si="15"/>
        <v>3</v>
      </c>
      <c r="AF18" s="101">
        <f t="shared" si="15"/>
        <v>5</v>
      </c>
      <c r="AG18" s="101">
        <f t="shared" si="15"/>
        <v>4</v>
      </c>
      <c r="AH18" s="101">
        <f>MAX(AH14:AH17)-AH19+1</f>
        <v>40305</v>
      </c>
      <c r="AI18" s="101">
        <f>MAX(AI14:AI17)-AI19+1</f>
        <v>4</v>
      </c>
      <c r="AK18" s="101">
        <f t="shared" si="15"/>
        <v>5</v>
      </c>
      <c r="AL18" s="101">
        <f t="shared" si="15"/>
        <v>1</v>
      </c>
      <c r="AM18" s="101"/>
      <c r="AN18" s="101"/>
      <c r="AO18" s="101"/>
      <c r="AP18" s="101"/>
      <c r="AS18" s="101">
        <f>MAX(AS14:AS17)-MIN(AS14:AS17)+1</f>
        <v>1</v>
      </c>
      <c r="AT18" s="101">
        <f>MAX(AT14:AT17)-MIN(AT14:AT17)+1</f>
        <v>1</v>
      </c>
      <c r="AU18" s="101">
        <f>MAX(AU14:AU17)-MIN(AU14:AU17)+1</f>
        <v>1</v>
      </c>
      <c r="AV18" s="101">
        <f>MAX(AV14:AV17)-MIN(AV14:AV17)+1</f>
        <v>1</v>
      </c>
      <c r="AW18" s="101">
        <f>MAX(AW14:AW17)-MIN(AW14:AW17)+1</f>
        <v>1</v>
      </c>
      <c r="BB18" s="135">
        <v>53</v>
      </c>
      <c r="BC18" s="30" t="str">
        <f>AR32</f>
        <v>Brazil</v>
      </c>
      <c r="BD18" s="88">
        <v>2</v>
      </c>
      <c r="BE18" s="90"/>
      <c r="BF18" s="31"/>
      <c r="BG18" s="27"/>
      <c r="BH18" s="27"/>
      <c r="BI18" s="27"/>
      <c r="BJ18" s="27"/>
      <c r="BK18" s="27"/>
      <c r="BL18" s="27"/>
      <c r="BM18" s="27"/>
      <c r="BN18" s="36"/>
      <c r="BO18" s="27"/>
      <c r="BP18" s="27"/>
      <c r="BQ18" s="27"/>
      <c r="BR18" s="27"/>
      <c r="BS18" s="27"/>
      <c r="BT18" s="27"/>
      <c r="BU18" s="36"/>
      <c r="BV18" s="27"/>
      <c r="BW18" s="27"/>
      <c r="BX18" s="27"/>
      <c r="BY18" s="27"/>
      <c r="BZ18" s="27"/>
      <c r="CA18" s="27"/>
    </row>
    <row r="19" spans="1:79" ht="15" customHeight="1" x14ac:dyDescent="0.25">
      <c r="A19" s="23">
        <v>13</v>
      </c>
      <c r="B19" s="24" t="str">
        <f t="shared" si="0"/>
        <v>Mon</v>
      </c>
      <c r="C19" s="25" t="str">
        <f t="shared" si="1"/>
        <v>Jun 18, 2018</v>
      </c>
      <c r="D19" s="26">
        <f t="shared" si="8"/>
        <v>0.625</v>
      </c>
      <c r="E19" s="96" t="str">
        <f>AB44</f>
        <v>Belgium</v>
      </c>
      <c r="F19" s="111">
        <v>3</v>
      </c>
      <c r="G19" s="112">
        <v>0</v>
      </c>
      <c r="H19" s="93" t="str">
        <f>AB45</f>
        <v>Panama</v>
      </c>
      <c r="J19" s="37"/>
      <c r="K19" s="38"/>
      <c r="L19" s="38"/>
      <c r="M19" s="38"/>
      <c r="N19" s="38"/>
      <c r="O19" s="38"/>
      <c r="P19" s="38"/>
      <c r="R19" s="101">
        <f>DATE(2018,6,18)+TIME(4,0,0)+gmt_delta</f>
        <v>43269.625</v>
      </c>
      <c r="S19" s="106" t="str">
        <f t="shared" si="2"/>
        <v>Belgium_win</v>
      </c>
      <c r="T19" s="106" t="str">
        <f t="shared" si="3"/>
        <v>Panama_lose</v>
      </c>
      <c r="U19" s="102">
        <f t="shared" si="4"/>
        <v>0</v>
      </c>
      <c r="V19" s="101">
        <f t="shared" si="5"/>
        <v>0</v>
      </c>
      <c r="W19" s="101">
        <f t="shared" si="6"/>
        <v>0</v>
      </c>
      <c r="X19" s="101">
        <f t="shared" si="7"/>
        <v>0</v>
      </c>
      <c r="Y19" s="101">
        <f t="shared" si="9"/>
        <v>1</v>
      </c>
      <c r="AH19" s="101">
        <f>MIN(AH14:AH17)</f>
        <v>9802</v>
      </c>
      <c r="AI19" s="101">
        <f>MIN(AI14:AI17)</f>
        <v>-2</v>
      </c>
      <c r="AO19" s="101"/>
      <c r="AP19" s="101"/>
      <c r="BB19" s="136"/>
      <c r="BC19" s="32" t="str">
        <f>AR39</f>
        <v>Mexico</v>
      </c>
      <c r="BD19" s="89">
        <v>0</v>
      </c>
      <c r="BE19" s="91"/>
      <c r="BF19" s="33"/>
      <c r="BG19" s="34"/>
      <c r="BH19" s="27"/>
      <c r="BI19" s="27" t="str">
        <f>INDEX(T,24+MONTH(R70),lang) &amp; " " &amp; DAY(R70) &amp; ", " &amp; YEAR(R70) &amp; "   " &amp; (IF(HOUR(R70)&lt;10,0,"") &amp; HOUR(R70)) &amp; ":" &amp; (IF(MINUTE(R70)&lt;10,0,"") &amp; MINUTE(R70))</f>
        <v>Jul 6, 2018   18:00</v>
      </c>
      <c r="BJ19" s="27"/>
      <c r="BK19" s="27"/>
      <c r="BL19" s="27"/>
      <c r="BM19" s="35"/>
      <c r="BN19" s="36"/>
      <c r="BO19" s="27"/>
      <c r="BP19" s="27"/>
      <c r="BQ19" s="27"/>
      <c r="BR19" s="27"/>
      <c r="BS19" s="27"/>
      <c r="BT19" s="27"/>
      <c r="BU19" s="36"/>
      <c r="BV19" s="27"/>
      <c r="BW19" s="27"/>
      <c r="BX19" s="27"/>
      <c r="BY19" s="27"/>
      <c r="BZ19" s="27"/>
      <c r="CA19" s="27"/>
    </row>
    <row r="20" spans="1:79" ht="15" customHeight="1" x14ac:dyDescent="0.25">
      <c r="A20" s="23">
        <v>14</v>
      </c>
      <c r="B20" s="24" t="str">
        <f t="shared" si="0"/>
        <v>Mon</v>
      </c>
      <c r="C20" s="25" t="str">
        <f t="shared" si="1"/>
        <v>Jun 18, 2018</v>
      </c>
      <c r="D20" s="26">
        <f t="shared" si="8"/>
        <v>0.75</v>
      </c>
      <c r="E20" s="96" t="str">
        <f>AB46</f>
        <v>Tunisia</v>
      </c>
      <c r="F20" s="111">
        <v>1</v>
      </c>
      <c r="G20" s="112">
        <v>2</v>
      </c>
      <c r="H20" s="93" t="str">
        <f>AB47</f>
        <v>England</v>
      </c>
      <c r="J20" s="66" t="str">
        <f>INDEX(T,9,lang) &amp; " " &amp; "C"</f>
        <v>Group C</v>
      </c>
      <c r="K20" s="67" t="str">
        <f>INDEX(T,10,lang)</f>
        <v>PL</v>
      </c>
      <c r="L20" s="67" t="str">
        <f>INDEX(T,11,lang)</f>
        <v>W</v>
      </c>
      <c r="M20" s="67" t="str">
        <f>INDEX(T,12,lang)</f>
        <v>DRAW</v>
      </c>
      <c r="N20" s="67" t="str">
        <f>INDEX(T,13,lang)</f>
        <v>L</v>
      </c>
      <c r="O20" s="67" t="str">
        <f>INDEX(T,14,lang)</f>
        <v>GF - GA</v>
      </c>
      <c r="P20" s="68" t="str">
        <f>INDEX(T,15,lang)</f>
        <v>PNT</v>
      </c>
      <c r="R20" s="101">
        <f>DATE(2018,6,18)+TIME(7,0,0)+gmt_delta</f>
        <v>43269.75</v>
      </c>
      <c r="S20" s="106" t="str">
        <f t="shared" si="2"/>
        <v>Tunisia_lose</v>
      </c>
      <c r="T20" s="106" t="str">
        <f t="shared" si="3"/>
        <v>England_win</v>
      </c>
      <c r="U20" s="102">
        <f t="shared" si="4"/>
        <v>0</v>
      </c>
      <c r="V20" s="101">
        <f t="shared" si="5"/>
        <v>0</v>
      </c>
      <c r="W20" s="101">
        <f t="shared" si="6"/>
        <v>0</v>
      </c>
      <c r="X20" s="101">
        <f t="shared" si="7"/>
        <v>0</v>
      </c>
      <c r="Y20" s="101">
        <f t="shared" si="9"/>
        <v>-1</v>
      </c>
      <c r="AA20" s="101">
        <f>COUNTIF(AQ20:AQ23,CONCATENATE("&gt;=",AQ20))</f>
        <v>1</v>
      </c>
      <c r="AB20" s="102" t="str">
        <f>VLOOKUP("France",T,lang,FALSE)</f>
        <v>France</v>
      </c>
      <c r="AC20" s="101">
        <f>COUNTIF($S$7:$T$54,"=" &amp; AB20 &amp; "_win")</f>
        <v>2</v>
      </c>
      <c r="AD20" s="101">
        <f>COUNTIF($S$7:$T$54,"=" &amp; AB20 &amp; "_draw")</f>
        <v>1</v>
      </c>
      <c r="AE20" s="101">
        <f>COUNTIF($S$7:$T$54,"=" &amp; AB20 &amp; "_lose")</f>
        <v>0</v>
      </c>
      <c r="AF20" s="101">
        <f>SUMIF($E$7:$E$54,$AB20,$F$7:$F$54) + SUMIF($H$7:$H$54,$AB20,$G$7:$G$54)</f>
        <v>3</v>
      </c>
      <c r="AG20" s="101">
        <f>SUMIF($E$7:$E$54,$AB20,$G$7:$G$54) + SUMIF($H$7:$H$54,$AB20,$F$7:$F$54)</f>
        <v>1</v>
      </c>
      <c r="AH20" s="101">
        <f>(AF20-AG20)*100+AK20*10000+AF20</f>
        <v>70203</v>
      </c>
      <c r="AI20" s="101">
        <f>AF20-AG20</f>
        <v>2</v>
      </c>
      <c r="AJ20" s="101">
        <f>(AI20-AI25)/AI24</f>
        <v>0.83333333333333337</v>
      </c>
      <c r="AK20" s="101">
        <f>AC20*3+AD20</f>
        <v>7</v>
      </c>
      <c r="AL20" s="101">
        <f>AS20/AS24*1000+AT20/AT24*100+AW20/AW24*10+AU20/AU24</f>
        <v>0</v>
      </c>
      <c r="AM20" s="101">
        <f>VLOOKUP(AB20,fair_play,2,FALSE)</f>
        <v>-3</v>
      </c>
      <c r="AN20" s="101">
        <f>COUNTIF($AM$20:$AM$23,CONCATENATE("&lt;=",AM20))</f>
        <v>4</v>
      </c>
      <c r="AO20" s="101">
        <f>VLOOKUP(AB20,fair_play,3,FALSE)</f>
        <v>10</v>
      </c>
      <c r="AP20" s="101">
        <f>COUNTIF($AO$20:$AO$23,CONCATENATE("&gt;=",AO20))</f>
        <v>2</v>
      </c>
      <c r="AQ20" s="102">
        <f>1000*AK20/AK24+100*AJ20+10*AF20/AF24+1*AL20/AL24+0.00001*AN20+0.000001*AP20</f>
        <v>1098.3333753333332</v>
      </c>
      <c r="AR20" s="103" t="str">
        <f>IF(SUM(AC20:AE23)=12,J21,INDEX(T,74,lang))</f>
        <v>France</v>
      </c>
      <c r="AS20" s="104">
        <f>SUMPRODUCT(($S$7:$S$54=AB20&amp;"_win")*($U$7:$U$54))+SUMPRODUCT(($T$7:$T$54=AB20&amp;"_win")*($U$7:$U$54))</f>
        <v>0</v>
      </c>
      <c r="AT20" s="105">
        <f>SUMPRODUCT(($S$7:$S$54=AB20&amp;"_draw")*($U$7:$U$54))+SUMPRODUCT(($T$7:$T$54=AB20&amp;"_draw")*($U$7:$U$54))</f>
        <v>0</v>
      </c>
      <c r="AU20" s="105">
        <f>SUMPRODUCT(($E$7:$E$54=AB20)*($U$7:$U$54)*($F$7:$F$54))+SUMPRODUCT(($H$7:$H$54=AB20)*($U$7:$U$54)*($G$7:$G$54))</f>
        <v>0</v>
      </c>
      <c r="AV20" s="105">
        <f>SUMPRODUCT(($E$7:$E$54=AB20)*($U$7:$U$54)*($G$7:$G$54))+SUMPRODUCT(($H$7:$H$54=AB20)*($U$7:$U$54)*($F$7:$F$54))</f>
        <v>0</v>
      </c>
      <c r="AW20" s="105">
        <f>AU20-AV20</f>
        <v>0</v>
      </c>
      <c r="BB20" s="27"/>
      <c r="BC20" s="27"/>
      <c r="BD20" s="27"/>
      <c r="BE20" s="27"/>
      <c r="BF20" s="27"/>
      <c r="BG20" s="36"/>
      <c r="BH20" s="27"/>
      <c r="BI20" s="135">
        <v>58</v>
      </c>
      <c r="BJ20" s="30" t="str">
        <f>T62</f>
        <v>Brazil</v>
      </c>
      <c r="BK20" s="88">
        <v>1</v>
      </c>
      <c r="BL20" s="90"/>
      <c r="BM20" s="31"/>
      <c r="BN20" s="40"/>
      <c r="BO20" s="27"/>
      <c r="BP20" s="27"/>
      <c r="BQ20" s="27"/>
      <c r="BR20" s="27"/>
      <c r="BS20" s="27"/>
      <c r="BT20" s="27"/>
      <c r="BU20" s="36"/>
      <c r="BV20" s="27"/>
      <c r="BW20" s="27"/>
      <c r="BX20" s="27"/>
      <c r="BY20" s="27"/>
      <c r="BZ20" s="27"/>
      <c r="CA20" s="27"/>
    </row>
    <row r="21" spans="1:79" ht="15" customHeight="1" x14ac:dyDescent="0.25">
      <c r="A21" s="23">
        <v>15</v>
      </c>
      <c r="B21" s="24" t="str">
        <f t="shared" si="0"/>
        <v>Tue</v>
      </c>
      <c r="C21" s="25" t="str">
        <f t="shared" si="1"/>
        <v>Jun 19, 2018</v>
      </c>
      <c r="D21" s="26">
        <f t="shared" si="8"/>
        <v>0.625</v>
      </c>
      <c r="E21" s="96" t="str">
        <f>AB50</f>
        <v>Poland</v>
      </c>
      <c r="F21" s="111">
        <v>1</v>
      </c>
      <c r="G21" s="112">
        <v>2</v>
      </c>
      <c r="H21" s="93" t="str">
        <f>AB51</f>
        <v>Senegal</v>
      </c>
      <c r="J21" s="58" t="str">
        <f>VLOOKUP(1,AA20:AK23,2,FALSE)</f>
        <v>France</v>
      </c>
      <c r="K21" s="59">
        <f>L21+M21+N21</f>
        <v>3</v>
      </c>
      <c r="L21" s="59">
        <f>VLOOKUP(1,AA20:AK23,3,FALSE)</f>
        <v>2</v>
      </c>
      <c r="M21" s="59">
        <f>VLOOKUP(1,AA20:AK23,4,FALSE)</f>
        <v>1</v>
      </c>
      <c r="N21" s="59">
        <f>VLOOKUP(1,AA20:AK23,5,FALSE)</f>
        <v>0</v>
      </c>
      <c r="O21" s="59" t="str">
        <f>VLOOKUP(1,AA20:AK23,6,FALSE) &amp; " - " &amp; VLOOKUP(1,AA20:AK23,7,FALSE)</f>
        <v>3 - 1</v>
      </c>
      <c r="P21" s="60">
        <f>L21*3+M21</f>
        <v>7</v>
      </c>
      <c r="R21" s="101">
        <f>DATE(2018,6,19)+TIME(4,0,0)+gmt_delta</f>
        <v>43270.625</v>
      </c>
      <c r="S21" s="106" t="str">
        <f t="shared" si="2"/>
        <v>Poland_lose</v>
      </c>
      <c r="T21" s="106" t="str">
        <f t="shared" si="3"/>
        <v>Senegal_win</v>
      </c>
      <c r="U21" s="102">
        <f t="shared" si="4"/>
        <v>0</v>
      </c>
      <c r="V21" s="101">
        <f t="shared" si="5"/>
        <v>0</v>
      </c>
      <c r="W21" s="101">
        <f t="shared" si="6"/>
        <v>0</v>
      </c>
      <c r="X21" s="101">
        <f t="shared" si="7"/>
        <v>0</v>
      </c>
      <c r="Y21" s="101">
        <f t="shared" si="9"/>
        <v>-1</v>
      </c>
      <c r="AA21" s="101">
        <f>COUNTIF(AQ20:AQ23,CONCATENATE("&gt;=",AQ21))</f>
        <v>4</v>
      </c>
      <c r="AB21" s="102" t="str">
        <f>VLOOKUP("Australia",T,lang,FALSE)</f>
        <v>Australia</v>
      </c>
      <c r="AC21" s="101">
        <f>COUNTIF($S$7:$T$54,"=" &amp; AB21 &amp; "_win")</f>
        <v>0</v>
      </c>
      <c r="AD21" s="101">
        <f>COUNTIF($S$7:$T$54,"=" &amp; AB21 &amp; "_draw")</f>
        <v>1</v>
      </c>
      <c r="AE21" s="101">
        <f>COUNTIF($S$7:$T$54,"=" &amp; AB21 &amp; "_lose")</f>
        <v>2</v>
      </c>
      <c r="AF21" s="101">
        <f>SUMIF($E$7:$E$54,$AB21,$F$7:$F$54) + SUMIF($H$7:$H$54,$AB21,$G$7:$G$54)</f>
        <v>2</v>
      </c>
      <c r="AG21" s="101">
        <f>SUMIF($E$7:$E$54,$AB21,$G$7:$G$54) + SUMIF($H$7:$H$54,$AB21,$F$7:$F$54)</f>
        <v>5</v>
      </c>
      <c r="AH21" s="101">
        <f>(AF21-AG21)*100+AK21*10000+AF21</f>
        <v>9702</v>
      </c>
      <c r="AI21" s="101">
        <f>AF21-AG21</f>
        <v>-3</v>
      </c>
      <c r="AJ21" s="101">
        <f>(AI21-AI25)/AI24</f>
        <v>0</v>
      </c>
      <c r="AK21" s="101">
        <f>AC21*3+AD21</f>
        <v>1</v>
      </c>
      <c r="AL21" s="101">
        <f>AS21/AS24*1000+AT21/AT24*100+AW21/AW24*10+AU21/AU24</f>
        <v>0</v>
      </c>
      <c r="AM21" s="101">
        <f>VLOOKUP(AB21,fair_play,2,FALSE)</f>
        <v>-7</v>
      </c>
      <c r="AN21" s="101">
        <f t="shared" ref="AN21:AN23" si="16">COUNTIF($AM$20:$AM$23,CONCATENATE("&lt;=",AM21))</f>
        <v>1</v>
      </c>
      <c r="AO21" s="101">
        <f>VLOOKUP(AB21,fair_play,3,FALSE)</f>
        <v>1</v>
      </c>
      <c r="AP21" s="101">
        <f t="shared" ref="AP21:AP23" si="17">COUNTIF($AO$20:$AO$23,CONCATENATE("&gt;=",AO21))</f>
        <v>4</v>
      </c>
      <c r="AQ21" s="102">
        <f>1000*AK21/AK24+100*AJ21+10*AF21/AF24+1*AL21/AL24+0.00001*AN21+0.000001*AP21</f>
        <v>152.85715685714285</v>
      </c>
      <c r="AR21" s="103" t="str">
        <f>IF(SUM(AC20:AE23)=12,J22,INDEX(T,75,lang))</f>
        <v>Denmark</v>
      </c>
      <c r="AS21" s="104">
        <f>SUMPRODUCT(($S$7:$S$54=AB21&amp;"_win")*($U$7:$U$54))+SUMPRODUCT(($T$7:$T$54=AB21&amp;"_win")*($U$7:$U$54))</f>
        <v>0</v>
      </c>
      <c r="AT21" s="105">
        <f>SUMPRODUCT(($S$7:$S$54=AB21&amp;"_draw")*($U$7:$U$54))+SUMPRODUCT(($T$7:$T$54=AB21&amp;"_draw")*($U$7:$U$54))</f>
        <v>0</v>
      </c>
      <c r="AU21" s="105">
        <f>SUMPRODUCT(($E$7:$E$54=AB21)*($U$7:$U$54)*($F$7:$F$54))+SUMPRODUCT(($H$7:$H$54=AB21)*($U$7:$U$54)*($G$7:$G$54))</f>
        <v>0</v>
      </c>
      <c r="AV21" s="105">
        <f>SUMPRODUCT(($E$7:$E$54=AB21)*($U$7:$U$54)*($G$7:$G$54))+SUMPRODUCT(($H$7:$H$54=AB21)*($U$7:$U$54)*($F$7:$F$54))</f>
        <v>0</v>
      </c>
      <c r="AW21" s="105">
        <f>AU21-AV21</f>
        <v>0</v>
      </c>
      <c r="BB21" s="27" t="str">
        <f>INDEX(T,24+MONTH(R63),lang) &amp; " " &amp; DAY(R63) &amp; ", " &amp; YEAR(R63) &amp; "   " &amp;  (IF(HOUR(R63)&lt;10,0,"") &amp; HOUR(R63)) &amp; ":" &amp; (IF(MINUTE(R63)&lt;10,0,"") &amp; MINUTE(R63))</f>
        <v>Jul 2, 2018   18:00</v>
      </c>
      <c r="BC21" s="27"/>
      <c r="BD21" s="27"/>
      <c r="BE21" s="27"/>
      <c r="BF21" s="35"/>
      <c r="BG21" s="36"/>
      <c r="BH21" s="39"/>
      <c r="BI21" s="136"/>
      <c r="BJ21" s="32" t="str">
        <f>T63</f>
        <v>Belgium</v>
      </c>
      <c r="BK21" s="89">
        <v>2</v>
      </c>
      <c r="BL21" s="91"/>
      <c r="BM21" s="33"/>
      <c r="BN21" s="27"/>
      <c r="BO21" s="27"/>
      <c r="BP21" s="27"/>
      <c r="BQ21" s="27"/>
      <c r="BR21" s="27"/>
      <c r="BS21" s="27"/>
      <c r="BT21" s="27"/>
      <c r="BU21" s="36"/>
      <c r="BV21" s="27"/>
      <c r="BW21" s="27"/>
      <c r="BX21" s="27"/>
      <c r="BY21" s="27"/>
      <c r="BZ21" s="27"/>
      <c r="CA21" s="27"/>
    </row>
    <row r="22" spans="1:79" ht="15" customHeight="1" x14ac:dyDescent="0.25">
      <c r="A22" s="23">
        <v>16</v>
      </c>
      <c r="B22" s="24" t="str">
        <f t="shared" si="0"/>
        <v>Tue</v>
      </c>
      <c r="C22" s="25" t="str">
        <f t="shared" si="1"/>
        <v>Jun 19, 2018</v>
      </c>
      <c r="D22" s="26">
        <f t="shared" si="8"/>
        <v>0.5</v>
      </c>
      <c r="E22" s="96" t="str">
        <f>AB52</f>
        <v>Colombia</v>
      </c>
      <c r="F22" s="111">
        <v>1</v>
      </c>
      <c r="G22" s="112">
        <v>2</v>
      </c>
      <c r="H22" s="93" t="str">
        <f>AB53</f>
        <v>Japan</v>
      </c>
      <c r="J22" s="61" t="str">
        <f>VLOOKUP(2,AA20:AK23,2,FALSE)</f>
        <v>Denmark</v>
      </c>
      <c r="K22" s="29">
        <f>L22+M22+N22</f>
        <v>3</v>
      </c>
      <c r="L22" s="29">
        <f>VLOOKUP(2,AA20:AK23,3,FALSE)</f>
        <v>1</v>
      </c>
      <c r="M22" s="29">
        <f>VLOOKUP(2,AA20:AK23,4,FALSE)</f>
        <v>2</v>
      </c>
      <c r="N22" s="29">
        <f>VLOOKUP(2,AA20:AK23,5,FALSE)</f>
        <v>0</v>
      </c>
      <c r="O22" s="29" t="str">
        <f>VLOOKUP(2,AA20:AK23,6,FALSE) &amp; " - " &amp; VLOOKUP(2,AA20:AK23,7,FALSE)</f>
        <v>2 - 1</v>
      </c>
      <c r="P22" s="62">
        <f>L22*3+M22</f>
        <v>5</v>
      </c>
      <c r="R22" s="101">
        <f>DATE(2018,6,19)+TIME(1,0,0)+gmt_delta</f>
        <v>43270.5</v>
      </c>
      <c r="S22" s="106" t="str">
        <f t="shared" si="2"/>
        <v>Colombia_lose</v>
      </c>
      <c r="T22" s="106" t="str">
        <f t="shared" si="3"/>
        <v>Japan_win</v>
      </c>
      <c r="U22" s="102">
        <f t="shared" si="4"/>
        <v>0</v>
      </c>
      <c r="V22" s="101">
        <f t="shared" si="5"/>
        <v>0</v>
      </c>
      <c r="W22" s="101">
        <f t="shared" si="6"/>
        <v>0</v>
      </c>
      <c r="X22" s="101">
        <f t="shared" si="7"/>
        <v>0</v>
      </c>
      <c r="Y22" s="101">
        <f t="shared" si="9"/>
        <v>-1</v>
      </c>
      <c r="AA22" s="101">
        <f>COUNTIF(AQ20:AQ23,CONCATENATE("&gt;=",AQ22))</f>
        <v>3</v>
      </c>
      <c r="AB22" s="102" t="str">
        <f>VLOOKUP("Peru",T,lang,FALSE)</f>
        <v>Peru</v>
      </c>
      <c r="AC22" s="101">
        <f>COUNTIF($S$7:$T$54,"=" &amp; AB22 &amp; "_win")</f>
        <v>1</v>
      </c>
      <c r="AD22" s="101">
        <f>COUNTIF($S$7:$T$54,"=" &amp; AB22 &amp; "_draw")</f>
        <v>0</v>
      </c>
      <c r="AE22" s="101">
        <f>COUNTIF($S$7:$T$54,"=" &amp; AB22 &amp; "_lose")</f>
        <v>2</v>
      </c>
      <c r="AF22" s="101">
        <f>SUMIF($E$7:$E$54,$AB22,$F$7:$F$54) + SUMIF($H$7:$H$54,$AB22,$G$7:$G$54)</f>
        <v>2</v>
      </c>
      <c r="AG22" s="101">
        <f>SUMIF($E$7:$E$54,$AB22,$G$7:$G$54) + SUMIF($H$7:$H$54,$AB22,$F$7:$F$54)</f>
        <v>2</v>
      </c>
      <c r="AH22" s="101">
        <f>(AF22-AG22)*100+AK22*10000+AF22</f>
        <v>30002</v>
      </c>
      <c r="AI22" s="101">
        <f>AF22-AG22</f>
        <v>0</v>
      </c>
      <c r="AJ22" s="101">
        <f>(AI22-AI25)/AI24</f>
        <v>0.5</v>
      </c>
      <c r="AK22" s="101">
        <f>AC22*3+AD22</f>
        <v>3</v>
      </c>
      <c r="AL22" s="101">
        <f>AS22/AS24*1000+AT22/AT24*100+AW22/AW24*10+AU22/AU24</f>
        <v>0</v>
      </c>
      <c r="AM22" s="101">
        <f>VLOOKUP(AB22,fair_play,2,FALSE)</f>
        <v>-3</v>
      </c>
      <c r="AN22" s="101">
        <f t="shared" si="16"/>
        <v>4</v>
      </c>
      <c r="AO22" s="101">
        <f>VLOOKUP(AB22,fair_play,3,FALSE)</f>
        <v>20</v>
      </c>
      <c r="AP22" s="101">
        <f t="shared" si="17"/>
        <v>1</v>
      </c>
      <c r="AQ22" s="102">
        <f>1000*AK22/AK24+100*AJ22+10*AF22/AF24+1*AL22/AL24+0.00001*AN22+0.000001*AP22</f>
        <v>488.57146957142857</v>
      </c>
      <c r="AS22" s="104">
        <f>SUMPRODUCT(($S$7:$S$54=AB22&amp;"_win")*($U$7:$U$54))+SUMPRODUCT(($T$7:$T$54=AB22&amp;"_win")*($U$7:$U$54))</f>
        <v>0</v>
      </c>
      <c r="AT22" s="105">
        <f>SUMPRODUCT(($S$7:$S$54=AB22&amp;"_draw")*($U$7:$U$54))+SUMPRODUCT(($T$7:$T$54=AB22&amp;"_draw")*($U$7:$U$54))</f>
        <v>0</v>
      </c>
      <c r="AU22" s="105">
        <f>SUMPRODUCT(($E$7:$E$54=AB22)*($U$7:$U$54)*($F$7:$F$54))+SUMPRODUCT(($H$7:$H$54=AB22)*($U$7:$U$54)*($G$7:$G$54))</f>
        <v>0</v>
      </c>
      <c r="AV22" s="105">
        <f>SUMPRODUCT(($E$7:$E$54=AB22)*($U$7:$U$54)*($G$7:$G$54))+SUMPRODUCT(($H$7:$H$54=AB22)*($U$7:$U$54)*($F$7:$F$54))</f>
        <v>0</v>
      </c>
      <c r="AW22" s="105">
        <f>AU22-AV22</f>
        <v>0</v>
      </c>
      <c r="BB22" s="135">
        <v>54</v>
      </c>
      <c r="BC22" s="30" t="str">
        <f>AR44</f>
        <v>Belgium</v>
      </c>
      <c r="BD22" s="88">
        <v>3</v>
      </c>
      <c r="BE22" s="90"/>
      <c r="BF22" s="31"/>
      <c r="BG22" s="40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36"/>
      <c r="BV22" s="27"/>
      <c r="BW22" s="27" t="str">
        <f>INDEX(T,24+MONTH(R85),lang) &amp; " " &amp; DAY(R85) &amp; ", " &amp; YEAR(R85) &amp; "   " &amp; (IF(HOUR(R85)&lt;10,0,"") &amp; HOUR(R85)) &amp; ":" &amp; (IF(MINUTE(R85)&lt;10,0,"") &amp; MINUTE(R85))</f>
        <v>Jul 15, 2018   15:00</v>
      </c>
      <c r="BX22" s="27"/>
      <c r="BY22" s="27"/>
      <c r="BZ22" s="27"/>
      <c r="CA22" s="35"/>
    </row>
    <row r="23" spans="1:79" ht="15" customHeight="1" x14ac:dyDescent="0.25">
      <c r="A23" s="23">
        <v>17</v>
      </c>
      <c r="B23" s="24" t="str">
        <f t="shared" si="0"/>
        <v>Tue</v>
      </c>
      <c r="C23" s="25" t="str">
        <f t="shared" si="1"/>
        <v>Jun 19, 2018</v>
      </c>
      <c r="D23" s="26">
        <f t="shared" si="8"/>
        <v>0.75</v>
      </c>
      <c r="E23" s="96" t="str">
        <f>AB8</f>
        <v>Russia</v>
      </c>
      <c r="F23" s="111">
        <v>3</v>
      </c>
      <c r="G23" s="112">
        <v>1</v>
      </c>
      <c r="H23" s="93" t="str">
        <f>AB10</f>
        <v>Egypt</v>
      </c>
      <c r="J23" s="61" t="str">
        <f>VLOOKUP(3,AA20:AK23,2,FALSE)</f>
        <v>Peru</v>
      </c>
      <c r="K23" s="29">
        <f>L23+M23+N23</f>
        <v>3</v>
      </c>
      <c r="L23" s="29">
        <f>VLOOKUP(3,AA20:AK23,3,FALSE)</f>
        <v>1</v>
      </c>
      <c r="M23" s="29">
        <f>VLOOKUP(3,AA20:AK23,4,FALSE)</f>
        <v>0</v>
      </c>
      <c r="N23" s="29">
        <f>VLOOKUP(3,AA20:AK23,5,FALSE)</f>
        <v>2</v>
      </c>
      <c r="O23" s="29" t="str">
        <f>VLOOKUP(3,AA20:AK23,6,FALSE) &amp; " - " &amp; VLOOKUP(3,AA20:AK23,7,FALSE)</f>
        <v>2 - 2</v>
      </c>
      <c r="P23" s="62">
        <f>L23*3+M23</f>
        <v>3</v>
      </c>
      <c r="R23" s="101">
        <f>DATE(2018,6,19)+TIME(7,0,0)+gmt_delta</f>
        <v>43270.75</v>
      </c>
      <c r="S23" s="106" t="str">
        <f t="shared" si="2"/>
        <v>Russia_win</v>
      </c>
      <c r="T23" s="106" t="str">
        <f t="shared" si="3"/>
        <v>Egypt_lose</v>
      </c>
      <c r="U23" s="102">
        <f t="shared" si="4"/>
        <v>0</v>
      </c>
      <c r="V23" s="101">
        <f t="shared" si="5"/>
        <v>0</v>
      </c>
      <c r="W23" s="101">
        <f t="shared" si="6"/>
        <v>0</v>
      </c>
      <c r="X23" s="101">
        <f t="shared" si="7"/>
        <v>0</v>
      </c>
      <c r="Y23" s="101">
        <f t="shared" si="9"/>
        <v>1</v>
      </c>
      <c r="AA23" s="101">
        <f>COUNTIF(AQ20:AQ23,CONCATENATE("&gt;=",AQ23))</f>
        <v>2</v>
      </c>
      <c r="AB23" s="102" t="str">
        <f>VLOOKUP("Denmark",T,lang,FALSE)</f>
        <v>Denmark</v>
      </c>
      <c r="AC23" s="101">
        <f>COUNTIF($S$7:$T$54,"=" &amp; AB23 &amp; "_win")</f>
        <v>1</v>
      </c>
      <c r="AD23" s="101">
        <f>COUNTIF($S$7:$T$54,"=" &amp; AB23 &amp; "_draw")</f>
        <v>2</v>
      </c>
      <c r="AE23" s="101">
        <f>COUNTIF($S$7:$T$54,"=" &amp; AB23 &amp; "_lose")</f>
        <v>0</v>
      </c>
      <c r="AF23" s="101">
        <f>SUMIF($E$7:$E$54,$AB23,$F$7:$F$54) + SUMIF($H$7:$H$54,$AB23,$G$7:$G$54)</f>
        <v>2</v>
      </c>
      <c r="AG23" s="101">
        <f>SUMIF($E$7:$E$54,$AB23,$G$7:$G$54) + SUMIF($H$7:$H$54,$AB23,$F$7:$F$54)</f>
        <v>1</v>
      </c>
      <c r="AH23" s="101">
        <f>(AF23-AG23)*100+AK23*10000+AF23</f>
        <v>50102</v>
      </c>
      <c r="AI23" s="101">
        <f>AF23-AG23</f>
        <v>1</v>
      </c>
      <c r="AJ23" s="101">
        <f>(AI23-AI25)/AI24</f>
        <v>0.66666666666666663</v>
      </c>
      <c r="AK23" s="101">
        <f>AC23*3+AD23</f>
        <v>5</v>
      </c>
      <c r="AL23" s="101">
        <f>AS23/AS24*1000+AT23/AT24*100+AW23/AW24*10+AU23/AU24</f>
        <v>0</v>
      </c>
      <c r="AM23" s="101">
        <f>VLOOKUP(AB23,fair_play,2,FALSE)</f>
        <v>-5</v>
      </c>
      <c r="AN23" s="101">
        <f t="shared" si="16"/>
        <v>2</v>
      </c>
      <c r="AO23" s="101">
        <f>VLOOKUP(AB23,fair_play,3,FALSE)</f>
        <v>7</v>
      </c>
      <c r="AP23" s="101">
        <f t="shared" si="17"/>
        <v>3</v>
      </c>
      <c r="AQ23" s="102">
        <f>1000*AK23/AK24+100*AJ23+10*AF23/AF24+1*AL23/AL24+0.00001*AN23+0.000001*AP23</f>
        <v>790.95240395238091</v>
      </c>
      <c r="AS23" s="104">
        <f>SUMPRODUCT(($S$7:$S$54=AB23&amp;"_win")*($U$7:$U$54))+SUMPRODUCT(($T$7:$T$54=AB23&amp;"_win")*($U$7:$U$54))</f>
        <v>0</v>
      </c>
      <c r="AT23" s="105">
        <f>SUMPRODUCT(($S$7:$S$54=AB23&amp;"_draw")*($U$7:$U$54))+SUMPRODUCT(($T$7:$T$54=AB23&amp;"_draw")*($U$7:$U$54))</f>
        <v>0</v>
      </c>
      <c r="AU23" s="105">
        <f>SUMPRODUCT(($E$7:$E$54=AB23)*($U$7:$U$54)*($F$7:$F$54))+SUMPRODUCT(($H$7:$H$54=AB23)*($U$7:$U$54)*($G$7:$G$54))</f>
        <v>0</v>
      </c>
      <c r="AV23" s="105">
        <f>SUMPRODUCT(($E$7:$E$54=AB23)*($U$7:$U$54)*($G$7:$G$54))+SUMPRODUCT(($H$7:$H$54=AB23)*($U$7:$U$54)*($F$7:$F$54))</f>
        <v>0</v>
      </c>
      <c r="AW23" s="105">
        <f>AU23-AV23</f>
        <v>0</v>
      </c>
      <c r="BB23" s="136"/>
      <c r="BC23" s="32" t="str">
        <f>AR51</f>
        <v>Japan</v>
      </c>
      <c r="BD23" s="89">
        <v>2</v>
      </c>
      <c r="BE23" s="91"/>
      <c r="BF23" s="33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36"/>
      <c r="BV23" s="27"/>
      <c r="BW23" s="135">
        <v>64</v>
      </c>
      <c r="BX23" s="30" t="str">
        <f>T76</f>
        <v>France</v>
      </c>
      <c r="BY23" s="88">
        <v>4</v>
      </c>
      <c r="BZ23" s="90"/>
      <c r="CA23" s="31"/>
    </row>
    <row r="24" spans="1:79" ht="15" customHeight="1" x14ac:dyDescent="0.25">
      <c r="A24" s="23">
        <v>18</v>
      </c>
      <c r="B24" s="24" t="str">
        <f t="shared" si="0"/>
        <v>Wed</v>
      </c>
      <c r="C24" s="25" t="str">
        <f t="shared" si="1"/>
        <v>Jun 20, 2018</v>
      </c>
      <c r="D24" s="26">
        <f t="shared" si="8"/>
        <v>0.625</v>
      </c>
      <c r="E24" s="96" t="str">
        <f>AB11</f>
        <v>Uruguay</v>
      </c>
      <c r="F24" s="111">
        <v>1</v>
      </c>
      <c r="G24" s="112">
        <v>0</v>
      </c>
      <c r="H24" s="93" t="str">
        <f>AB9</f>
        <v>Saudi Arabia</v>
      </c>
      <c r="J24" s="63" t="str">
        <f>VLOOKUP(4,AA20:AK23,2,FALSE)</f>
        <v>Australia</v>
      </c>
      <c r="K24" s="64">
        <f>L24+M24+N24</f>
        <v>3</v>
      </c>
      <c r="L24" s="64">
        <f>VLOOKUP(4,AA20:AK23,3,FALSE)</f>
        <v>0</v>
      </c>
      <c r="M24" s="64">
        <f>VLOOKUP(4,AA20:AK23,4,FALSE)</f>
        <v>1</v>
      </c>
      <c r="N24" s="64">
        <f>VLOOKUP(4,AA20:AK23,5,FALSE)</f>
        <v>2</v>
      </c>
      <c r="O24" s="64" t="str">
        <f>VLOOKUP(4,AA20:AK23,6,FALSE) &amp; " - " &amp; VLOOKUP(4,AA20:AK23,7,FALSE)</f>
        <v>2 - 5</v>
      </c>
      <c r="P24" s="65">
        <f>L24*3+M24</f>
        <v>1</v>
      </c>
      <c r="R24" s="101">
        <f>DATE(2018,6,20)+TIME(4,0,0)+gmt_delta</f>
        <v>43271.625</v>
      </c>
      <c r="S24" s="106" t="str">
        <f t="shared" si="2"/>
        <v>Uruguay_win</v>
      </c>
      <c r="T24" s="106" t="str">
        <f t="shared" si="3"/>
        <v>Saudi Arabia_lose</v>
      </c>
      <c r="U24" s="102">
        <f t="shared" si="4"/>
        <v>0</v>
      </c>
      <c r="V24" s="101">
        <f t="shared" si="5"/>
        <v>0</v>
      </c>
      <c r="W24" s="101">
        <f t="shared" si="6"/>
        <v>0</v>
      </c>
      <c r="X24" s="101">
        <f t="shared" si="7"/>
        <v>0</v>
      </c>
      <c r="Y24" s="101">
        <f t="shared" si="9"/>
        <v>1</v>
      </c>
      <c r="AC24" s="101">
        <f t="shared" ref="AC24:AL24" si="18">MAX(AC20:AC23)-MIN(AC20:AC23)+1</f>
        <v>3</v>
      </c>
      <c r="AD24" s="101">
        <f t="shared" si="18"/>
        <v>3</v>
      </c>
      <c r="AE24" s="101">
        <f t="shared" si="18"/>
        <v>3</v>
      </c>
      <c r="AF24" s="101">
        <f t="shared" si="18"/>
        <v>2</v>
      </c>
      <c r="AG24" s="101">
        <f t="shared" si="18"/>
        <v>5</v>
      </c>
      <c r="AH24" s="101">
        <f>MAX(AH20:AH23)-AH25+1</f>
        <v>60502</v>
      </c>
      <c r="AI24" s="101">
        <f>MAX(AI20:AI23)-AI25+1</f>
        <v>6</v>
      </c>
      <c r="AK24" s="101">
        <f t="shared" si="18"/>
        <v>7</v>
      </c>
      <c r="AL24" s="101">
        <f t="shared" si="18"/>
        <v>1</v>
      </c>
      <c r="AM24" s="101"/>
      <c r="AN24" s="101"/>
      <c r="AO24" s="101"/>
      <c r="AP24" s="101"/>
      <c r="AS24" s="101">
        <f>MAX(AS20:AS23)-MIN(AS20:AS23)+1</f>
        <v>1</v>
      </c>
      <c r="AT24" s="101">
        <f>MAX(AT20:AT23)-MIN(AT20:AT23)+1</f>
        <v>1</v>
      </c>
      <c r="AU24" s="101">
        <f>MAX(AU20:AU23)-MIN(AU20:AU23)+1</f>
        <v>1</v>
      </c>
      <c r="AV24" s="101">
        <f>MAX(AV20:AV23)-MIN(AV20:AV23)+1</f>
        <v>1</v>
      </c>
      <c r="AW24" s="101">
        <f>MAX(AW20:AW23)-MIN(AW20:AW23)+1</f>
        <v>1</v>
      </c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36"/>
      <c r="BV24" s="39"/>
      <c r="BW24" s="136"/>
      <c r="BX24" s="32" t="str">
        <f>T77</f>
        <v>Croatia</v>
      </c>
      <c r="BY24" s="89">
        <v>2</v>
      </c>
      <c r="BZ24" s="91"/>
      <c r="CA24" s="33"/>
    </row>
    <row r="25" spans="1:79" ht="15" customHeight="1" x14ac:dyDescent="0.25">
      <c r="A25" s="23">
        <v>19</v>
      </c>
      <c r="B25" s="24" t="str">
        <f t="shared" si="0"/>
        <v>Wed</v>
      </c>
      <c r="C25" s="25" t="str">
        <f t="shared" si="1"/>
        <v>Jun 20, 2018</v>
      </c>
      <c r="D25" s="26">
        <f t="shared" si="8"/>
        <v>0.5</v>
      </c>
      <c r="E25" s="96" t="str">
        <f>AB14</f>
        <v>Portugal</v>
      </c>
      <c r="F25" s="111">
        <v>1</v>
      </c>
      <c r="G25" s="112">
        <v>0</v>
      </c>
      <c r="H25" s="93" t="str">
        <f>AB16</f>
        <v>Morocco</v>
      </c>
      <c r="J25" s="37"/>
      <c r="K25" s="38"/>
      <c r="L25" s="38"/>
      <c r="M25" s="38"/>
      <c r="N25" s="38"/>
      <c r="O25" s="38"/>
      <c r="P25" s="38"/>
      <c r="R25" s="101">
        <f>DATE(2018,6,20)+TIME(1,0,0)+gmt_delta</f>
        <v>43271.5</v>
      </c>
      <c r="S25" s="106" t="str">
        <f t="shared" si="2"/>
        <v>Portugal_win</v>
      </c>
      <c r="T25" s="106" t="str">
        <f t="shared" si="3"/>
        <v>Morocco_lose</v>
      </c>
      <c r="U25" s="102">
        <f t="shared" si="4"/>
        <v>0</v>
      </c>
      <c r="V25" s="101">
        <f t="shared" si="5"/>
        <v>0</v>
      </c>
      <c r="W25" s="101">
        <f t="shared" si="6"/>
        <v>0</v>
      </c>
      <c r="X25" s="101">
        <f t="shared" si="7"/>
        <v>0</v>
      </c>
      <c r="Y25" s="101">
        <f t="shared" si="9"/>
        <v>1</v>
      </c>
      <c r="AH25" s="101">
        <f>MIN(AH20:AH23)</f>
        <v>9702</v>
      </c>
      <c r="AI25" s="101">
        <f>MIN(AI20:AI23)</f>
        <v>-3</v>
      </c>
      <c r="AO25" s="101"/>
      <c r="AP25" s="101"/>
      <c r="BB25" s="27" t="str">
        <f>INDEX(T,24+MONTH(R60),lang) &amp; " " &amp; DAY(R60) &amp; ", " &amp; YEAR(R60) &amp; "   " &amp; (IF(HOUR(R60)&lt;10,0,"") &amp; HOUR(R60)) &amp; ":" &amp; (IF(MINUTE(R60)&lt;10,0,"") &amp; MINUTE(R60))</f>
        <v>Jul 1, 2018   14:00</v>
      </c>
      <c r="BC25" s="27"/>
      <c r="BD25" s="27"/>
      <c r="BE25" s="27"/>
      <c r="BF25" s="43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36"/>
      <c r="BV25" s="27"/>
      <c r="BW25" s="27"/>
      <c r="BX25" s="27"/>
      <c r="BY25" s="27"/>
      <c r="BZ25" s="27"/>
      <c r="CA25" s="27"/>
    </row>
    <row r="26" spans="1:79" ht="15" customHeight="1" x14ac:dyDescent="0.25">
      <c r="A26" s="23">
        <v>20</v>
      </c>
      <c r="B26" s="24" t="str">
        <f t="shared" si="0"/>
        <v>Wed</v>
      </c>
      <c r="C26" s="25" t="str">
        <f t="shared" si="1"/>
        <v>Jun 20, 2018</v>
      </c>
      <c r="D26" s="26">
        <f t="shared" si="8"/>
        <v>0.75</v>
      </c>
      <c r="E26" s="96" t="str">
        <f>AB17</f>
        <v>Iran</v>
      </c>
      <c r="F26" s="111">
        <v>0</v>
      </c>
      <c r="G26" s="112">
        <v>1</v>
      </c>
      <c r="H26" s="93" t="str">
        <f>AB15</f>
        <v>Spain</v>
      </c>
      <c r="J26" s="66" t="str">
        <f>INDEX(T,9,lang) &amp; " " &amp; "D"</f>
        <v>Group D</v>
      </c>
      <c r="K26" s="67" t="str">
        <f>INDEX(T,10,lang)</f>
        <v>PL</v>
      </c>
      <c r="L26" s="67" t="str">
        <f>INDEX(T,11,lang)</f>
        <v>W</v>
      </c>
      <c r="M26" s="67" t="str">
        <f>INDEX(T,12,lang)</f>
        <v>DRAW</v>
      </c>
      <c r="N26" s="67" t="str">
        <f>INDEX(T,13,lang)</f>
        <v>L</v>
      </c>
      <c r="O26" s="67" t="str">
        <f>INDEX(T,14,lang)</f>
        <v>GF - GA</v>
      </c>
      <c r="P26" s="68" t="str">
        <f>INDEX(T,15,lang)</f>
        <v>PNT</v>
      </c>
      <c r="R26" s="101">
        <f>DATE(2018,6,20)+TIME(7,0,0)+gmt_delta</f>
        <v>43271.75</v>
      </c>
      <c r="S26" s="106" t="str">
        <f t="shared" si="2"/>
        <v>Iran_lose</v>
      </c>
      <c r="T26" s="106" t="str">
        <f t="shared" si="3"/>
        <v>Spain_win</v>
      </c>
      <c r="U26" s="102">
        <f t="shared" si="4"/>
        <v>0</v>
      </c>
      <c r="V26" s="101">
        <f t="shared" si="5"/>
        <v>0</v>
      </c>
      <c r="W26" s="101">
        <f t="shared" si="6"/>
        <v>0</v>
      </c>
      <c r="X26" s="101">
        <f t="shared" si="7"/>
        <v>0</v>
      </c>
      <c r="Y26" s="101">
        <f t="shared" si="9"/>
        <v>-1</v>
      </c>
      <c r="AA26" s="101">
        <f>COUNTIF(AQ26:AQ29,CONCATENATE("&gt;=",AQ26))</f>
        <v>2</v>
      </c>
      <c r="AB26" s="102" t="str">
        <f>VLOOKUP("Argentina",T,lang,FALSE)</f>
        <v>Argentina</v>
      </c>
      <c r="AC26" s="101">
        <f>COUNTIF($S$7:$T$54,"=" &amp; AB26 &amp; "_win")</f>
        <v>1</v>
      </c>
      <c r="AD26" s="101">
        <f>COUNTIF($S$7:$T$54,"=" &amp; AB26 &amp; "_draw")</f>
        <v>1</v>
      </c>
      <c r="AE26" s="101">
        <f>COUNTIF($S$7:$T$54,"=" &amp; AB26 &amp; "_lose")</f>
        <v>1</v>
      </c>
      <c r="AF26" s="101">
        <f>SUMIF($E$7:$E$54,$AB26,$F$7:$F$54) + SUMIF($H$7:$H$54,$AB26,$G$7:$G$54)</f>
        <v>3</v>
      </c>
      <c r="AG26" s="101">
        <f>SUMIF($E$7:$E$54,$AB26,$G$7:$G$54) + SUMIF($H$7:$H$54,$AB26,$F$7:$F$54)</f>
        <v>5</v>
      </c>
      <c r="AH26" s="101">
        <f>(AF26-AG26)*100+AK26*10000+AF26</f>
        <v>39803</v>
      </c>
      <c r="AI26" s="101">
        <f>AF26-AG26</f>
        <v>-2</v>
      </c>
      <c r="AJ26" s="101">
        <f>(AI26-AI31)/AI30</f>
        <v>0.1</v>
      </c>
      <c r="AK26" s="101">
        <f>AC26*3+AD26</f>
        <v>4</v>
      </c>
      <c r="AL26" s="101">
        <f>AS26/AS30*1000+AT26/AT30*100+AW26/AW30*10+AU26/AU30</f>
        <v>0</v>
      </c>
      <c r="AM26" s="101">
        <f>VLOOKUP(AB26,fair_play,2,FALSE)</f>
        <v>-6</v>
      </c>
      <c r="AN26" s="101">
        <f>COUNTIF($AM$26:$AM$29,CONCATENATE("&lt;=",AM26))</f>
        <v>3</v>
      </c>
      <c r="AO26" s="101">
        <f>VLOOKUP(AB26,fair_play,3,FALSE)</f>
        <v>0</v>
      </c>
      <c r="AP26" s="101">
        <f>COUNTIF($AO$26:$AO$29,CONCATENATE("&gt;=",AO26))</f>
        <v>4</v>
      </c>
      <c r="AQ26" s="102">
        <f>1000*AK26/AK30+100*AJ26+10*AF26/AF30+1*AL26/AL30+0.00001*AN26+0.000001*AP26</f>
        <v>459.44447844444443</v>
      </c>
      <c r="AR26" s="103" t="str">
        <f>IF(SUM(AC26:AE29)=12,J27,INDEX(T,76,lang))</f>
        <v>Croatia</v>
      </c>
      <c r="AS26" s="104">
        <f>SUMPRODUCT(($S$7:$S$54=AB26&amp;"_win")*($U$7:$U$54))+SUMPRODUCT(($T$7:$T$54=AB26&amp;"_win")*($U$7:$U$54))</f>
        <v>0</v>
      </c>
      <c r="AT26" s="105">
        <f>SUMPRODUCT(($S$7:$S$54=AB26&amp;"_draw")*($U$7:$U$54))+SUMPRODUCT(($T$7:$T$54=AB26&amp;"_draw")*($U$7:$U$54))</f>
        <v>0</v>
      </c>
      <c r="AU26" s="105">
        <f>SUMPRODUCT(($E$7:$E$54=AB26)*($U$7:$U$54)*($F$7:$F$54))+SUMPRODUCT(($H$7:$H$54=AB26)*($U$7:$U$54)*($G$7:$G$54))</f>
        <v>0</v>
      </c>
      <c r="AV26" s="105">
        <f>SUMPRODUCT(($E$7:$E$54=AB26)*($U$7:$U$54)*($G$7:$G$54))+SUMPRODUCT(($H$7:$H$54=AB26)*($U$7:$U$54)*($F$7:$F$54))</f>
        <v>0</v>
      </c>
      <c r="AW26" s="105">
        <f>AU26-AV26</f>
        <v>0</v>
      </c>
      <c r="BB26" s="135">
        <v>51</v>
      </c>
      <c r="BC26" s="30" t="str">
        <f>AR14</f>
        <v>Spain</v>
      </c>
      <c r="BD26" s="88">
        <v>1</v>
      </c>
      <c r="BE26" s="90">
        <v>1</v>
      </c>
      <c r="BF26" s="31">
        <v>3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36"/>
      <c r="BV26" s="27"/>
      <c r="BW26" s="27"/>
      <c r="BX26" s="27"/>
      <c r="BY26" s="27"/>
      <c r="BZ26" s="27"/>
      <c r="CA26" s="27"/>
    </row>
    <row r="27" spans="1:79" ht="15" customHeight="1" x14ac:dyDescent="0.25">
      <c r="A27" s="23">
        <v>21</v>
      </c>
      <c r="B27" s="24" t="str">
        <f t="shared" si="0"/>
        <v>Thu</v>
      </c>
      <c r="C27" s="25" t="str">
        <f t="shared" si="1"/>
        <v>Jun 21, 2018</v>
      </c>
      <c r="D27" s="26">
        <f t="shared" si="8"/>
        <v>0.625</v>
      </c>
      <c r="E27" s="96" t="str">
        <f>AB20</f>
        <v>France</v>
      </c>
      <c r="F27" s="111">
        <v>1</v>
      </c>
      <c r="G27" s="112">
        <v>0</v>
      </c>
      <c r="H27" s="93" t="str">
        <f>AB22</f>
        <v>Peru</v>
      </c>
      <c r="J27" s="58" t="str">
        <f>VLOOKUP(1,AA26:AK29,2,FALSE)</f>
        <v>Croatia</v>
      </c>
      <c r="K27" s="59">
        <f>L27+M27+N27</f>
        <v>3</v>
      </c>
      <c r="L27" s="59">
        <f>VLOOKUP(1,AA26:AK29,3,FALSE)</f>
        <v>3</v>
      </c>
      <c r="M27" s="59">
        <f>VLOOKUP(1,AA26:AK29,4,FALSE)</f>
        <v>0</v>
      </c>
      <c r="N27" s="59">
        <f>VLOOKUP(1,AA26:AK29,5,FALSE)</f>
        <v>0</v>
      </c>
      <c r="O27" s="59" t="str">
        <f>VLOOKUP(1,AA26:AK29,6,FALSE) &amp; " - " &amp; VLOOKUP(1,AA26:AK29,7,FALSE)</f>
        <v>7 - 1</v>
      </c>
      <c r="P27" s="60">
        <f>L27*3+M27</f>
        <v>9</v>
      </c>
      <c r="R27" s="101">
        <f>DATE(2018,6,21)+TIME(4,0,0)+gmt_delta</f>
        <v>43272.625</v>
      </c>
      <c r="S27" s="106" t="str">
        <f t="shared" si="2"/>
        <v>France_win</v>
      </c>
      <c r="T27" s="106" t="str">
        <f t="shared" si="3"/>
        <v>Peru_lose</v>
      </c>
      <c r="U27" s="102">
        <f t="shared" si="4"/>
        <v>0</v>
      </c>
      <c r="V27" s="101">
        <f t="shared" si="5"/>
        <v>0</v>
      </c>
      <c r="W27" s="101">
        <f t="shared" si="6"/>
        <v>0</v>
      </c>
      <c r="X27" s="101">
        <f t="shared" si="7"/>
        <v>0</v>
      </c>
      <c r="Y27" s="101">
        <f t="shared" si="9"/>
        <v>1</v>
      </c>
      <c r="AA27" s="101">
        <f>COUNTIF(AQ26:AQ29,CONCATENATE("&gt;=",AQ27))</f>
        <v>4</v>
      </c>
      <c r="AB27" s="102" t="str">
        <f>VLOOKUP("Iceland",T,lang,FALSE)</f>
        <v>Iceland</v>
      </c>
      <c r="AC27" s="101">
        <f>COUNTIF($S$7:$T$54,"=" &amp; AB27 &amp; "_win")</f>
        <v>0</v>
      </c>
      <c r="AD27" s="101">
        <f>COUNTIF($S$7:$T$54,"=" &amp; AB27 &amp; "_draw")</f>
        <v>1</v>
      </c>
      <c r="AE27" s="101">
        <f>COUNTIF($S$7:$T$54,"=" &amp; AB27 &amp; "_lose")</f>
        <v>2</v>
      </c>
      <c r="AF27" s="101">
        <f>SUMIF($E$7:$E$54,$AB27,$F$7:$F$54) + SUMIF($H$7:$H$54,$AB27,$G$7:$G$54)</f>
        <v>2</v>
      </c>
      <c r="AG27" s="101">
        <f>SUMIF($E$7:$E$54,$AB27,$G$7:$G$54) + SUMIF($H$7:$H$54,$AB27,$F$7:$F$54)</f>
        <v>5</v>
      </c>
      <c r="AH27" s="101">
        <f>(AF27-AG27)*100+AK27*10000+AF27</f>
        <v>9702</v>
      </c>
      <c r="AI27" s="101">
        <f>AF27-AG27</f>
        <v>-3</v>
      </c>
      <c r="AJ27" s="101">
        <f>(AI27-AI31)/AI30</f>
        <v>0</v>
      </c>
      <c r="AK27" s="101">
        <f>AC27*3+AD27</f>
        <v>1</v>
      </c>
      <c r="AL27" s="101">
        <f>AS27/AS30*1000+AT27/AT30*100+AW27/AW30*10+AU27/AU30</f>
        <v>0</v>
      </c>
      <c r="AM27" s="101">
        <f>VLOOKUP(AB27,fair_play,2,FALSE)</f>
        <v>-3</v>
      </c>
      <c r="AN27" s="101">
        <f t="shared" ref="AN27:AN29" si="19">COUNTIF($AM$26:$AM$29,CONCATENATE("&lt;=",AM27))</f>
        <v>4</v>
      </c>
      <c r="AO27" s="101">
        <f>VLOOKUP(AB27,fair_play,3,FALSE)</f>
        <v>12</v>
      </c>
      <c r="AP27" s="101">
        <f t="shared" ref="AP27:AP29" si="20">COUNTIF($AO$26:$AO$29,CONCATENATE("&gt;=",AO27))</f>
        <v>2</v>
      </c>
      <c r="AQ27" s="102">
        <f>1000*AK27/AK30+100*AJ27+10*AF27/AF30+1*AL27/AL30+0.00001*AN27+0.000001*AP27</f>
        <v>114.44448644444444</v>
      </c>
      <c r="AR27" s="103" t="str">
        <f>IF(SUM(AC26:AE29)=12,J28,INDEX(T,77,lang))</f>
        <v>Argentina</v>
      </c>
      <c r="AS27" s="104">
        <f>SUMPRODUCT(($S$7:$S$54=AB27&amp;"_win")*($U$7:$U$54))+SUMPRODUCT(($T$7:$T$54=AB27&amp;"_win")*($U$7:$U$54))</f>
        <v>0</v>
      </c>
      <c r="AT27" s="105">
        <f>SUMPRODUCT(($S$7:$S$54=AB27&amp;"_draw")*($U$7:$U$54))+SUMPRODUCT(($T$7:$T$54=AB27&amp;"_draw")*($U$7:$U$54))</f>
        <v>0</v>
      </c>
      <c r="AU27" s="105">
        <f>SUMPRODUCT(($E$7:$E$54=AB27)*($U$7:$U$54)*($F$7:$F$54))+SUMPRODUCT(($H$7:$H$54=AB27)*($U$7:$U$54)*($G$7:$G$54))</f>
        <v>0</v>
      </c>
      <c r="AV27" s="105">
        <f>SUMPRODUCT(($E$7:$E$54=AB27)*($U$7:$U$54)*($G$7:$G$54))+SUMPRODUCT(($H$7:$H$54=AB27)*($U$7:$U$54)*($F$7:$F$54))</f>
        <v>0</v>
      </c>
      <c r="AW27" s="105">
        <f>AU27-AV27</f>
        <v>0</v>
      </c>
      <c r="BB27" s="136"/>
      <c r="BC27" s="32" t="str">
        <f>AR9</f>
        <v>Russia</v>
      </c>
      <c r="BD27" s="89">
        <v>1</v>
      </c>
      <c r="BE27" s="91">
        <v>1</v>
      </c>
      <c r="BF27" s="33">
        <v>4</v>
      </c>
      <c r="BG27" s="34"/>
      <c r="BH27" s="27"/>
      <c r="BI27" s="27" t="str">
        <f>INDEX(T,24+MONTH(R71),lang) &amp; " " &amp; DAY(R71) &amp; ", " &amp; YEAR(R71) &amp; "   " &amp;  (IF(HOUR(R71)&lt;10,0,"") &amp; HOUR(R71)) &amp; ":" &amp; (IF(MINUTE(R71)&lt;10,0,"") &amp; MINUTE(R71))</f>
        <v>Jul 7, 2018   18:00</v>
      </c>
      <c r="BJ27" s="27"/>
      <c r="BK27" s="27"/>
      <c r="BL27" s="27"/>
      <c r="BM27" s="35"/>
      <c r="BN27" s="27"/>
      <c r="BO27" s="27"/>
      <c r="BP27" s="27"/>
      <c r="BQ27" s="27"/>
      <c r="BR27" s="27"/>
      <c r="BS27" s="27"/>
      <c r="BT27" s="27"/>
      <c r="BU27" s="36"/>
      <c r="BV27" s="27"/>
      <c r="BW27" s="27"/>
      <c r="BX27" s="27"/>
      <c r="BY27" s="27"/>
      <c r="BZ27" s="27"/>
      <c r="CA27" s="27"/>
    </row>
    <row r="28" spans="1:79" ht="15" customHeight="1" x14ac:dyDescent="0.25">
      <c r="A28" s="23">
        <v>22</v>
      </c>
      <c r="B28" s="24" t="str">
        <f>INDEX(T,18+INT(MOD(R28-1,7)),lang)</f>
        <v>Thu</v>
      </c>
      <c r="C28" s="25" t="str">
        <f t="shared" si="1"/>
        <v>Jun 21, 2018</v>
      </c>
      <c r="D28" s="26">
        <f t="shared" si="8"/>
        <v>0.5</v>
      </c>
      <c r="E28" s="96" t="str">
        <f>AB23</f>
        <v>Denmark</v>
      </c>
      <c r="F28" s="111">
        <v>1</v>
      </c>
      <c r="G28" s="112">
        <v>1</v>
      </c>
      <c r="H28" s="93" t="str">
        <f>AB21</f>
        <v>Australia</v>
      </c>
      <c r="J28" s="61" t="str">
        <f>VLOOKUP(2,AA26:AK29,2,FALSE)</f>
        <v>Argentina</v>
      </c>
      <c r="K28" s="29">
        <f>L28+M28+N28</f>
        <v>3</v>
      </c>
      <c r="L28" s="29">
        <f>VLOOKUP(2,AA26:AK29,3,FALSE)</f>
        <v>1</v>
      </c>
      <c r="M28" s="29">
        <f>VLOOKUP(2,AA26:AK29,4,FALSE)</f>
        <v>1</v>
      </c>
      <c r="N28" s="29">
        <f>VLOOKUP(2,AA26:AK29,5,FALSE)</f>
        <v>1</v>
      </c>
      <c r="O28" s="29" t="str">
        <f>VLOOKUP(2,AA26:AK29,6,FALSE) &amp; " - " &amp; VLOOKUP(2,AA26:AK29,7,FALSE)</f>
        <v>3 - 5</v>
      </c>
      <c r="P28" s="62">
        <f>L28*3+M28</f>
        <v>4</v>
      </c>
      <c r="R28" s="101">
        <f>DATE(2018,6,21)+TIME(1,0,0)+gmt_delta</f>
        <v>43272.5</v>
      </c>
      <c r="S28" s="106" t="str">
        <f t="shared" si="2"/>
        <v>Denmark_draw</v>
      </c>
      <c r="T28" s="106" t="str">
        <f t="shared" si="3"/>
        <v>Australia_draw</v>
      </c>
      <c r="U28" s="102">
        <f t="shared" si="4"/>
        <v>0</v>
      </c>
      <c r="V28" s="101">
        <f t="shared" si="5"/>
        <v>0</v>
      </c>
      <c r="W28" s="101">
        <f t="shared" si="6"/>
        <v>0</v>
      </c>
      <c r="X28" s="101">
        <f t="shared" si="7"/>
        <v>0</v>
      </c>
      <c r="Y28" s="101">
        <f t="shared" si="9"/>
        <v>0</v>
      </c>
      <c r="AA28" s="101">
        <f>COUNTIF(AQ26:AQ29,CONCATENATE("&gt;=",AQ28))</f>
        <v>1</v>
      </c>
      <c r="AB28" s="102" t="str">
        <f>VLOOKUP("Croatia",T,lang,FALSE)</f>
        <v>Croatia</v>
      </c>
      <c r="AC28" s="101">
        <f>COUNTIF($S$7:$T$54,"=" &amp; AB28 &amp; "_win")</f>
        <v>3</v>
      </c>
      <c r="AD28" s="101">
        <f>COUNTIF($S$7:$T$54,"=" &amp; AB28 &amp; "_draw")</f>
        <v>0</v>
      </c>
      <c r="AE28" s="101">
        <f>COUNTIF($S$7:$T$54,"=" &amp; AB28 &amp; "_lose")</f>
        <v>0</v>
      </c>
      <c r="AF28" s="101">
        <f>SUMIF($E$7:$E$54,$AB28,$F$7:$F$54) + SUMIF($H$7:$H$54,$AB28,$G$7:$G$54)</f>
        <v>7</v>
      </c>
      <c r="AG28" s="101">
        <f>SUMIF($E$7:$E$54,$AB28,$G$7:$G$54) + SUMIF($H$7:$H$54,$AB28,$F$7:$F$54)</f>
        <v>1</v>
      </c>
      <c r="AH28" s="101">
        <f>(AF28-AG28)*100+AK28*10000+AF28</f>
        <v>90607</v>
      </c>
      <c r="AI28" s="101">
        <f>AF28-AG28</f>
        <v>6</v>
      </c>
      <c r="AJ28" s="101">
        <f>(AI28-AI31)/AI30</f>
        <v>0.9</v>
      </c>
      <c r="AK28" s="101">
        <f>AC28*3+AD28</f>
        <v>9</v>
      </c>
      <c r="AL28" s="101">
        <f>AS28/AS30*1000+AT28/AT30*100+AW28/AW30*10+AU28/AU30</f>
        <v>0</v>
      </c>
      <c r="AM28" s="101">
        <f>VLOOKUP(AB28,fair_play,2,FALSE)</f>
        <v>-8</v>
      </c>
      <c r="AN28" s="101">
        <f t="shared" si="19"/>
        <v>2</v>
      </c>
      <c r="AO28" s="101">
        <f>VLOOKUP(AB28,fair_play,3,FALSE)</f>
        <v>6</v>
      </c>
      <c r="AP28" s="101">
        <f t="shared" si="20"/>
        <v>3</v>
      </c>
      <c r="AQ28" s="102">
        <f>1000*AK28/AK30+100*AJ28+10*AF28/AF30+1*AL28/AL30+0.00001*AN28+0.000001*AP28</f>
        <v>1101.6666896666668</v>
      </c>
      <c r="AS28" s="104">
        <f>SUMPRODUCT(($S$7:$S$54=AB28&amp;"_win")*($U$7:$U$54))+SUMPRODUCT(($T$7:$T$54=AB28&amp;"_win")*($U$7:$U$54))</f>
        <v>0</v>
      </c>
      <c r="AT28" s="105">
        <f>SUMPRODUCT(($S$7:$S$54=AB28&amp;"_draw")*($U$7:$U$54))+SUMPRODUCT(($T$7:$T$54=AB28&amp;"_draw")*($U$7:$U$54))</f>
        <v>0</v>
      </c>
      <c r="AU28" s="105">
        <f>SUMPRODUCT(($E$7:$E$54=AB28)*($U$7:$U$54)*($F$7:$F$54))+SUMPRODUCT(($H$7:$H$54=AB28)*($U$7:$U$54)*($G$7:$G$54))</f>
        <v>0</v>
      </c>
      <c r="AV28" s="105">
        <f>SUMPRODUCT(($E$7:$E$54=AB28)*($U$7:$U$54)*($G$7:$G$54))+SUMPRODUCT(($H$7:$H$54=AB28)*($U$7:$U$54)*($F$7:$F$54))</f>
        <v>0</v>
      </c>
      <c r="AW28" s="105">
        <f>AU28-AV28</f>
        <v>0</v>
      </c>
      <c r="BB28" s="27"/>
      <c r="BC28" s="27"/>
      <c r="BD28" s="27"/>
      <c r="BE28" s="27"/>
      <c r="BF28" s="27"/>
      <c r="BG28" s="36"/>
      <c r="BH28" s="27"/>
      <c r="BI28" s="135">
        <v>59</v>
      </c>
      <c r="BJ28" s="30" t="str">
        <f>T60</f>
        <v>Russia</v>
      </c>
      <c r="BK28" s="88">
        <v>1</v>
      </c>
      <c r="BL28" s="90">
        <v>2</v>
      </c>
      <c r="BM28" s="31">
        <v>3</v>
      </c>
      <c r="BN28" s="27"/>
      <c r="BO28" s="27"/>
      <c r="BP28" s="27"/>
      <c r="BQ28" s="27"/>
      <c r="BR28" s="27"/>
      <c r="BS28" s="27"/>
      <c r="BT28" s="27"/>
      <c r="BU28" s="36"/>
      <c r="BV28" s="27"/>
      <c r="BW28" s="27"/>
      <c r="BX28" s="27"/>
      <c r="BY28" s="27"/>
      <c r="BZ28" s="27"/>
      <c r="CA28" s="27"/>
    </row>
    <row r="29" spans="1:79" ht="15" customHeight="1" x14ac:dyDescent="0.25">
      <c r="A29" s="23">
        <v>23</v>
      </c>
      <c r="B29" s="24" t="str">
        <f t="shared" si="0"/>
        <v>Thu</v>
      </c>
      <c r="C29" s="25" t="str">
        <f t="shared" si="1"/>
        <v>Jun 21, 2018</v>
      </c>
      <c r="D29" s="26">
        <f t="shared" si="8"/>
        <v>0.75</v>
      </c>
      <c r="E29" s="96" t="str">
        <f>AB26</f>
        <v>Argentina</v>
      </c>
      <c r="F29" s="111">
        <v>0</v>
      </c>
      <c r="G29" s="112">
        <v>3</v>
      </c>
      <c r="H29" s="93" t="str">
        <f>AB28</f>
        <v>Croatia</v>
      </c>
      <c r="J29" s="61" t="str">
        <f>VLOOKUP(3,AA26:AK29,2,FALSE)</f>
        <v>Nigeria</v>
      </c>
      <c r="K29" s="29">
        <f>L29+M29+N29</f>
        <v>3</v>
      </c>
      <c r="L29" s="29">
        <f>VLOOKUP(3,AA26:AK29,3,FALSE)</f>
        <v>1</v>
      </c>
      <c r="M29" s="29">
        <f>VLOOKUP(3,AA26:AK29,4,FALSE)</f>
        <v>0</v>
      </c>
      <c r="N29" s="29">
        <f>VLOOKUP(3,AA26:AK29,5,FALSE)</f>
        <v>2</v>
      </c>
      <c r="O29" s="29" t="str">
        <f>VLOOKUP(3,AA26:AK29,6,FALSE) &amp; " - " &amp; VLOOKUP(3,AA26:AK29,7,FALSE)</f>
        <v>3 - 4</v>
      </c>
      <c r="P29" s="62">
        <f>L29*3+M29</f>
        <v>3</v>
      </c>
      <c r="R29" s="101">
        <f>DATE(2018,6,21)+TIME(7,0,0)+gmt_delta</f>
        <v>43272.75</v>
      </c>
      <c r="S29" s="106" t="str">
        <f t="shared" si="2"/>
        <v>Argentina_lose</v>
      </c>
      <c r="T29" s="106" t="str">
        <f t="shared" si="3"/>
        <v>Croatia_win</v>
      </c>
      <c r="U29" s="102">
        <f t="shared" si="4"/>
        <v>0</v>
      </c>
      <c r="V29" s="101">
        <f t="shared" si="5"/>
        <v>0</v>
      </c>
      <c r="W29" s="101">
        <f t="shared" si="6"/>
        <v>0</v>
      </c>
      <c r="X29" s="101">
        <f t="shared" si="7"/>
        <v>1</v>
      </c>
      <c r="Y29" s="101">
        <f t="shared" si="9"/>
        <v>-1</v>
      </c>
      <c r="AA29" s="101">
        <f>COUNTIF(AQ26:AQ29,CONCATENATE("&gt;=",AQ29))</f>
        <v>3</v>
      </c>
      <c r="AB29" s="102" t="str">
        <f>VLOOKUP("Nigeria",T,lang,FALSE)</f>
        <v>Nigeria</v>
      </c>
      <c r="AC29" s="101">
        <f>COUNTIF($S$7:$T$54,"=" &amp; AB29 &amp; "_win")</f>
        <v>1</v>
      </c>
      <c r="AD29" s="101">
        <f>COUNTIF($S$7:$T$54,"=" &amp; AB29 &amp; "_draw")</f>
        <v>0</v>
      </c>
      <c r="AE29" s="101">
        <f>COUNTIF($S$7:$T$54,"=" &amp; AB29 &amp; "_lose")</f>
        <v>2</v>
      </c>
      <c r="AF29" s="101">
        <f>SUMIF($E$7:$E$54,$AB29,$F$7:$F$54) + SUMIF($H$7:$H$54,$AB29,$G$7:$G$54)</f>
        <v>3</v>
      </c>
      <c r="AG29" s="101">
        <f>SUMIF($E$7:$E$54,$AB29,$G$7:$G$54) + SUMIF($H$7:$H$54,$AB29,$F$7:$F$54)</f>
        <v>4</v>
      </c>
      <c r="AH29" s="101">
        <f>(AF29-AG29)*100+AK29*10000+AF29</f>
        <v>29903</v>
      </c>
      <c r="AI29" s="101">
        <f>AF29-AG29</f>
        <v>-1</v>
      </c>
      <c r="AJ29" s="101">
        <f>(AI29-AI31)/AI30</f>
        <v>0.2</v>
      </c>
      <c r="AK29" s="101">
        <f>AC29*3+AD29</f>
        <v>3</v>
      </c>
      <c r="AL29" s="101">
        <f>AS29/AS30*1000+AT29/AT30*100+AW29/AW30*10+AU29/AU30</f>
        <v>0</v>
      </c>
      <c r="AM29" s="101">
        <f>VLOOKUP(AB29,fair_play,2,FALSE)</f>
        <v>-11</v>
      </c>
      <c r="AN29" s="101">
        <f t="shared" si="19"/>
        <v>1</v>
      </c>
      <c r="AO29" s="101">
        <f>VLOOKUP(AB29,fair_play,3,FALSE)</f>
        <v>18</v>
      </c>
      <c r="AP29" s="101">
        <f t="shared" si="20"/>
        <v>1</v>
      </c>
      <c r="AQ29" s="102">
        <f>1000*AK29/AK30+100*AJ29+10*AF29/AF30+1*AL29/AL30+0.00001*AN29+0.000001*AP29</f>
        <v>358.33334433333329</v>
      </c>
      <c r="AS29" s="104">
        <f>SUMPRODUCT(($S$7:$S$54=AB29&amp;"_win")*($U$7:$U$54))+SUMPRODUCT(($T$7:$T$54=AB29&amp;"_win")*($U$7:$U$54))</f>
        <v>0</v>
      </c>
      <c r="AT29" s="105">
        <f>SUMPRODUCT(($S$7:$S$54=AB29&amp;"_draw")*($U$7:$U$54))+SUMPRODUCT(($T$7:$T$54=AB29&amp;"_draw")*($U$7:$U$54))</f>
        <v>0</v>
      </c>
      <c r="AU29" s="105">
        <f>SUMPRODUCT(($E$7:$E$54=AB29)*($U$7:$U$54)*($F$7:$F$54))+SUMPRODUCT(($H$7:$H$54=AB29)*($U$7:$U$54)*($G$7:$G$54))</f>
        <v>0</v>
      </c>
      <c r="AV29" s="105">
        <f>SUMPRODUCT(($E$7:$E$54=AB29)*($U$7:$U$54)*($G$7:$G$54))+SUMPRODUCT(($H$7:$H$54=AB29)*($U$7:$U$54)*($F$7:$F$54))</f>
        <v>0</v>
      </c>
      <c r="AW29" s="105">
        <f>AU29-AV29</f>
        <v>0</v>
      </c>
      <c r="BB29" s="27" t="str">
        <f>INDEX(T,24+MONTH(R61),lang) &amp; " " &amp; DAY(R61) &amp; ", " &amp; YEAR(R61) &amp; "   " &amp; (IF(HOUR(R61)&lt;10,0,"") &amp; HOUR(R61)) &amp; ":" &amp; (IF(MINUTE(R61)&lt;10,0,"") &amp; MINUTE(R61))</f>
        <v>Jul 1, 2018   18:00</v>
      </c>
      <c r="BC29" s="27"/>
      <c r="BD29" s="27"/>
      <c r="BE29" s="27"/>
      <c r="BF29" s="35"/>
      <c r="BG29" s="36"/>
      <c r="BH29" s="39"/>
      <c r="BI29" s="136"/>
      <c r="BJ29" s="32" t="str">
        <f>T61</f>
        <v>Croatia</v>
      </c>
      <c r="BK29" s="89">
        <v>1</v>
      </c>
      <c r="BL29" s="91">
        <v>2</v>
      </c>
      <c r="BM29" s="33">
        <v>4</v>
      </c>
      <c r="BN29" s="34"/>
      <c r="BO29" s="27"/>
      <c r="BP29" s="27"/>
      <c r="BQ29" s="27"/>
      <c r="BR29" s="27"/>
      <c r="BS29" s="27"/>
      <c r="BT29" s="27"/>
      <c r="BU29" s="36"/>
      <c r="BV29" s="27"/>
      <c r="BW29" s="27"/>
      <c r="BX29" s="27"/>
      <c r="BY29" s="27"/>
      <c r="BZ29" s="27"/>
      <c r="CA29" s="27"/>
    </row>
    <row r="30" spans="1:79" ht="15" customHeight="1" x14ac:dyDescent="0.25">
      <c r="A30" s="23">
        <v>24</v>
      </c>
      <c r="B30" s="24" t="str">
        <f t="shared" si="0"/>
        <v>Fri</v>
      </c>
      <c r="C30" s="25" t="str">
        <f t="shared" si="1"/>
        <v>Jun 22, 2018</v>
      </c>
      <c r="D30" s="26">
        <f t="shared" si="8"/>
        <v>0.625</v>
      </c>
      <c r="E30" s="96" t="str">
        <f>AB29</f>
        <v>Nigeria</v>
      </c>
      <c r="F30" s="111">
        <v>2</v>
      </c>
      <c r="G30" s="112">
        <v>0</v>
      </c>
      <c r="H30" s="93" t="str">
        <f>AB27</f>
        <v>Iceland</v>
      </c>
      <c r="J30" s="63" t="str">
        <f>VLOOKUP(4,AA26:AK29,2,FALSE)</f>
        <v>Iceland</v>
      </c>
      <c r="K30" s="64">
        <f>L30+M30+N30</f>
        <v>3</v>
      </c>
      <c r="L30" s="64">
        <f>VLOOKUP(4,AA26:AK29,3,FALSE)</f>
        <v>0</v>
      </c>
      <c r="M30" s="64">
        <f>VLOOKUP(4,AA26:AK29,4,FALSE)</f>
        <v>1</v>
      </c>
      <c r="N30" s="64">
        <f>VLOOKUP(4,AA26:AK29,5,FALSE)</f>
        <v>2</v>
      </c>
      <c r="O30" s="64" t="str">
        <f>VLOOKUP(4,AA26:AK29,6,FALSE) &amp; " - " &amp; VLOOKUP(4,AA26:AK29,7,FALSE)</f>
        <v>2 - 5</v>
      </c>
      <c r="P30" s="65">
        <f>L30*3+M30</f>
        <v>1</v>
      </c>
      <c r="R30" s="101">
        <f>DATE(2018,6,22)+TIME(4,0,0)+gmt_delta</f>
        <v>43273.625</v>
      </c>
      <c r="S30" s="106" t="str">
        <f t="shared" si="2"/>
        <v>Nigeria_win</v>
      </c>
      <c r="T30" s="106" t="str">
        <f t="shared" si="3"/>
        <v>Iceland_lose</v>
      </c>
      <c r="U30" s="102">
        <f t="shared" si="4"/>
        <v>0</v>
      </c>
      <c r="V30" s="101">
        <f t="shared" si="5"/>
        <v>0</v>
      </c>
      <c r="W30" s="101">
        <f t="shared" si="6"/>
        <v>0</v>
      </c>
      <c r="X30" s="101">
        <f t="shared" si="7"/>
        <v>0</v>
      </c>
      <c r="Y30" s="101">
        <f t="shared" si="9"/>
        <v>1</v>
      </c>
      <c r="AC30" s="101">
        <f t="shared" ref="AC30:AL30" si="21">MAX(AC26:AC29)-MIN(AC26:AC29)+1</f>
        <v>4</v>
      </c>
      <c r="AD30" s="101">
        <f t="shared" si="21"/>
        <v>2</v>
      </c>
      <c r="AE30" s="101">
        <f t="shared" si="21"/>
        <v>3</v>
      </c>
      <c r="AF30" s="101">
        <f t="shared" si="21"/>
        <v>6</v>
      </c>
      <c r="AG30" s="101">
        <f t="shared" si="21"/>
        <v>5</v>
      </c>
      <c r="AH30" s="101">
        <f>MAX(AH26:AH29)-AH31+1</f>
        <v>80906</v>
      </c>
      <c r="AI30" s="101">
        <f>MAX(AI26:AI29)-AI31+1</f>
        <v>10</v>
      </c>
      <c r="AK30" s="101">
        <f t="shared" si="21"/>
        <v>9</v>
      </c>
      <c r="AL30" s="101">
        <f t="shared" si="21"/>
        <v>1</v>
      </c>
      <c r="AM30" s="101"/>
      <c r="AN30" s="101"/>
      <c r="AO30" s="101"/>
      <c r="AP30" s="101"/>
      <c r="AS30" s="101">
        <f>MAX(AS26:AS29)-MIN(AS26:AS29)+1</f>
        <v>1</v>
      </c>
      <c r="AT30" s="101">
        <f>MAX(AT26:AT29)-MIN(AT26:AT29)+1</f>
        <v>1</v>
      </c>
      <c r="AU30" s="101">
        <f>MAX(AU26:AU29)-MIN(AU26:AU29)+1</f>
        <v>1</v>
      </c>
      <c r="AV30" s="101">
        <f>MAX(AV26:AV29)-MIN(AV26:AV29)+1</f>
        <v>1</v>
      </c>
      <c r="AW30" s="101">
        <f>MAX(AW26:AW29)-MIN(AW26:AW29)+1</f>
        <v>1</v>
      </c>
      <c r="BB30" s="135">
        <v>52</v>
      </c>
      <c r="BC30" s="30" t="str">
        <f>AR26</f>
        <v>Croatia</v>
      </c>
      <c r="BD30" s="88">
        <v>1</v>
      </c>
      <c r="BE30" s="90">
        <v>1</v>
      </c>
      <c r="BF30" s="31">
        <v>3</v>
      </c>
      <c r="BG30" s="40"/>
      <c r="BH30" s="27"/>
      <c r="BI30" s="27"/>
      <c r="BJ30" s="27"/>
      <c r="BK30" s="27"/>
      <c r="BL30" s="27"/>
      <c r="BM30" s="27"/>
      <c r="BN30" s="36"/>
      <c r="BO30" s="27"/>
      <c r="BP30" s="27"/>
      <c r="BQ30" s="27"/>
      <c r="BR30" s="27"/>
      <c r="BS30" s="27"/>
      <c r="BT30" s="27"/>
      <c r="BU30" s="36"/>
      <c r="BV30" s="27"/>
      <c r="BW30" s="27"/>
      <c r="BX30" s="27"/>
      <c r="BY30" s="27"/>
      <c r="BZ30" s="27"/>
      <c r="CA30" s="27"/>
    </row>
    <row r="31" spans="1:79" ht="15" customHeight="1" x14ac:dyDescent="0.25">
      <c r="A31" s="23">
        <v>25</v>
      </c>
      <c r="B31" s="24" t="str">
        <f t="shared" si="0"/>
        <v>Fri</v>
      </c>
      <c r="C31" s="25" t="str">
        <f t="shared" si="1"/>
        <v>Jun 22, 2018</v>
      </c>
      <c r="D31" s="26">
        <f t="shared" si="8"/>
        <v>0.5</v>
      </c>
      <c r="E31" s="96" t="str">
        <f>AB32</f>
        <v>Brazil</v>
      </c>
      <c r="F31" s="111">
        <v>2</v>
      </c>
      <c r="G31" s="112">
        <v>0</v>
      </c>
      <c r="H31" s="93" t="str">
        <f>AB34</f>
        <v>Costa Rica</v>
      </c>
      <c r="R31" s="101">
        <f>DATE(2018,6,22)+TIME(1,0,0)+gmt_delta</f>
        <v>43273.5</v>
      </c>
      <c r="S31" s="106" t="str">
        <f t="shared" si="2"/>
        <v>Brazil_win</v>
      </c>
      <c r="T31" s="106" t="str">
        <f t="shared" si="3"/>
        <v>Costa Rica_lose</v>
      </c>
      <c r="U31" s="102">
        <f t="shared" si="4"/>
        <v>0</v>
      </c>
      <c r="V31" s="101">
        <f t="shared" si="5"/>
        <v>0</v>
      </c>
      <c r="W31" s="101">
        <f t="shared" si="6"/>
        <v>0</v>
      </c>
      <c r="X31" s="101">
        <f t="shared" si="7"/>
        <v>0</v>
      </c>
      <c r="Y31" s="101">
        <f t="shared" si="9"/>
        <v>1</v>
      </c>
      <c r="AH31" s="101">
        <f>MIN(AH26:AH29)</f>
        <v>9702</v>
      </c>
      <c r="AI31" s="101">
        <f>MIN(AI26:AI29)</f>
        <v>-3</v>
      </c>
      <c r="AO31" s="101"/>
      <c r="AP31" s="101"/>
      <c r="BB31" s="136"/>
      <c r="BC31" s="32" t="str">
        <f>AR21</f>
        <v>Denmark</v>
      </c>
      <c r="BD31" s="89">
        <v>1</v>
      </c>
      <c r="BE31" s="91">
        <v>1</v>
      </c>
      <c r="BF31" s="33">
        <v>2</v>
      </c>
      <c r="BG31" s="27"/>
      <c r="BH31" s="27"/>
      <c r="BI31" s="27"/>
      <c r="BJ31" s="27"/>
      <c r="BK31" s="27"/>
      <c r="BL31" s="27"/>
      <c r="BM31" s="27"/>
      <c r="BN31" s="36"/>
      <c r="BO31" s="27"/>
      <c r="BP31" s="27" t="str">
        <f>INDEX(T,24+MONTH(R77),lang) &amp; " " &amp; DAY(R77) &amp; ", " &amp; YEAR(R77) &amp; "   " &amp; (IF(HOUR(R77)&lt;10,0,"") &amp; HOUR(R77)) &amp; ":" &amp; (IF(MINUTE(R77)&lt;10,0,"") &amp; MINUTE(R77))</f>
        <v>Jul 11, 2018   18:00</v>
      </c>
      <c r="BQ31" s="27"/>
      <c r="BR31" s="27"/>
      <c r="BS31" s="27"/>
      <c r="BT31" s="35"/>
      <c r="BU31" s="36"/>
      <c r="BV31" s="41"/>
      <c r="BW31" s="137" t="str">
        <f>INDEX(T,7,lang)</f>
        <v>Third-Place Play-Off</v>
      </c>
      <c r="BX31" s="138"/>
      <c r="BY31" s="138"/>
      <c r="BZ31" s="138"/>
      <c r="CA31" s="139"/>
    </row>
    <row r="32" spans="1:79" ht="15" customHeight="1" x14ac:dyDescent="0.25">
      <c r="A32" s="23">
        <v>26</v>
      </c>
      <c r="B32" s="24" t="str">
        <f t="shared" si="0"/>
        <v>Fri</v>
      </c>
      <c r="C32" s="25" t="str">
        <f t="shared" si="1"/>
        <v>Jun 22, 2018</v>
      </c>
      <c r="D32" s="26">
        <f t="shared" si="8"/>
        <v>0.75</v>
      </c>
      <c r="E32" s="96" t="str">
        <f>AB35</f>
        <v>Serbia</v>
      </c>
      <c r="F32" s="111">
        <v>1</v>
      </c>
      <c r="G32" s="112">
        <v>2</v>
      </c>
      <c r="H32" s="93" t="str">
        <f>AB33</f>
        <v>Switzerland</v>
      </c>
      <c r="J32" s="66" t="str">
        <f>INDEX(T,9,lang) &amp; " " &amp; "E"</f>
        <v>Group E</v>
      </c>
      <c r="K32" s="67" t="str">
        <f>INDEX(T,10,lang)</f>
        <v>PL</v>
      </c>
      <c r="L32" s="67" t="str">
        <f>INDEX(T,11,lang)</f>
        <v>W</v>
      </c>
      <c r="M32" s="67" t="str">
        <f>INDEX(T,12,lang)</f>
        <v>DRAW</v>
      </c>
      <c r="N32" s="67" t="str">
        <f>INDEX(T,13,lang)</f>
        <v>L</v>
      </c>
      <c r="O32" s="67" t="str">
        <f>INDEX(T,14,lang)</f>
        <v>GF - GA</v>
      </c>
      <c r="P32" s="68" t="str">
        <f>INDEX(T,15,lang)</f>
        <v>PNT</v>
      </c>
      <c r="R32" s="101">
        <f>DATE(2018,6,22)+TIME(7,0,0)+gmt_delta</f>
        <v>43273.75</v>
      </c>
      <c r="S32" s="106" t="str">
        <f t="shared" si="2"/>
        <v>Serbia_lose</v>
      </c>
      <c r="T32" s="106" t="str">
        <f t="shared" si="3"/>
        <v>Switzerland_win</v>
      </c>
      <c r="U32" s="102">
        <f t="shared" si="4"/>
        <v>0</v>
      </c>
      <c r="V32" s="101">
        <f t="shared" si="5"/>
        <v>0</v>
      </c>
      <c r="W32" s="101">
        <f t="shared" si="6"/>
        <v>0</v>
      </c>
      <c r="X32" s="101">
        <f t="shared" si="7"/>
        <v>0</v>
      </c>
      <c r="Y32" s="101">
        <f t="shared" si="9"/>
        <v>-1</v>
      </c>
      <c r="AA32" s="101">
        <f>COUNTIF(AQ32:AQ35,CONCATENATE("&gt;=",AQ32))</f>
        <v>1</v>
      </c>
      <c r="AB32" s="102" t="str">
        <f>VLOOKUP("Brazil",T,lang,FALSE)</f>
        <v>Brazil</v>
      </c>
      <c r="AC32" s="101">
        <f>COUNTIF($S$7:$T$54,"=" &amp; AB32 &amp; "_win")</f>
        <v>2</v>
      </c>
      <c r="AD32" s="101">
        <f>COUNTIF($S$7:$T$54,"=" &amp; AB32 &amp; "_draw")</f>
        <v>1</v>
      </c>
      <c r="AE32" s="101">
        <f>COUNTIF($S$7:$T$54,"=" &amp; AB32 &amp; "_lose")</f>
        <v>0</v>
      </c>
      <c r="AF32" s="101">
        <f>SUMIF($E$7:$E$54,$AB32,$F$7:$F$54) + SUMIF($H$7:$H$54,$AB32,$G$7:$G$54)</f>
        <v>5</v>
      </c>
      <c r="AG32" s="101">
        <f>SUMIF($E$7:$E$54,$AB32,$G$7:$G$54) + SUMIF($H$7:$H$54,$AB32,$F$7:$F$54)</f>
        <v>1</v>
      </c>
      <c r="AH32" s="101">
        <f>(AF32-AG32)*100+AK32*10000+AF32</f>
        <v>70405</v>
      </c>
      <c r="AI32" s="101">
        <f>AF32-AG32</f>
        <v>4</v>
      </c>
      <c r="AJ32" s="101">
        <f>(AI32-AI37)/AI36</f>
        <v>0.875</v>
      </c>
      <c r="AK32" s="101">
        <f>AC32*3+AD32</f>
        <v>7</v>
      </c>
      <c r="AL32" s="101">
        <f>AS32/AS36*1000+AT32/AT36*100+AW32/AW36*10+AU32/AU36</f>
        <v>0</v>
      </c>
      <c r="AM32" s="101">
        <f>VLOOKUP(AB32,fair_play,2,FALSE)</f>
        <v>-3</v>
      </c>
      <c r="AN32" s="101">
        <f>COUNTIF($AM$32:$AM$35,CONCATENATE("&lt;=",AM32))</f>
        <v>4</v>
      </c>
      <c r="AO32" s="101">
        <f>VLOOKUP(AB32,fair_play,3,FALSE)</f>
        <v>3</v>
      </c>
      <c r="AP32" s="101">
        <f>COUNTIF($AO$32:$AO$35,CONCATENATE("&gt;=",AO32))</f>
        <v>4</v>
      </c>
      <c r="AQ32" s="102">
        <f>1000*AK32/AK36+100*AJ32+10*AF32/AF36+1*AL32/AL36+0.00001*AN32+0.000001*AP32</f>
        <v>1100.0000439999999</v>
      </c>
      <c r="AR32" s="103" t="str">
        <f>IF(SUM(AC32:AE35)=12,J33,INDEX(T,78,lang))</f>
        <v>Brazil</v>
      </c>
      <c r="AS32" s="104">
        <f>SUMPRODUCT(($S$7:$S$54=AB32&amp;"_win")*($U$7:$U$54))+SUMPRODUCT(($T$7:$T$54=AB32&amp;"_win")*($U$7:$U$54))</f>
        <v>0</v>
      </c>
      <c r="AT32" s="105">
        <f>SUMPRODUCT(($S$7:$S$54=AB32&amp;"_draw")*($U$7:$U$54))+SUMPRODUCT(($T$7:$T$54=AB32&amp;"_draw")*($U$7:$U$54))</f>
        <v>0</v>
      </c>
      <c r="AU32" s="105">
        <f>SUMPRODUCT(($E$7:$E$54=AB32)*($U$7:$U$54)*($F$7:$F$54))+SUMPRODUCT(($H$7:$H$54=AB32)*($U$7:$U$54)*($G$7:$G$54))</f>
        <v>0</v>
      </c>
      <c r="AV32" s="105">
        <f>SUMPRODUCT(($E$7:$E$54=AB32)*($U$7:$U$54)*($G$7:$G$54))+SUMPRODUCT(($H$7:$H$54=AB32)*($U$7:$U$54)*($F$7:$F$54))</f>
        <v>0</v>
      </c>
      <c r="AW32" s="105">
        <f>AU32-AV32</f>
        <v>0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36"/>
      <c r="BO32" s="27"/>
      <c r="BP32" s="135">
        <v>62</v>
      </c>
      <c r="BQ32" s="30" t="str">
        <f>T71</f>
        <v>Croatia</v>
      </c>
      <c r="BR32" s="88">
        <v>1</v>
      </c>
      <c r="BS32" s="90">
        <v>2</v>
      </c>
      <c r="BT32" s="31"/>
      <c r="BU32" s="40"/>
      <c r="BV32" s="41"/>
      <c r="BW32" s="140"/>
      <c r="BX32" s="141"/>
      <c r="BY32" s="141"/>
      <c r="BZ32" s="141"/>
      <c r="CA32" s="142"/>
    </row>
    <row r="33" spans="1:79" ht="15" customHeight="1" x14ac:dyDescent="0.25">
      <c r="A33" s="23">
        <v>27</v>
      </c>
      <c r="B33" s="24" t="str">
        <f t="shared" si="0"/>
        <v>Sat</v>
      </c>
      <c r="C33" s="25" t="str">
        <f t="shared" si="1"/>
        <v>Jun 23, 2018</v>
      </c>
      <c r="D33" s="26">
        <f t="shared" si="8"/>
        <v>0.75</v>
      </c>
      <c r="E33" s="96" t="str">
        <f>AB38</f>
        <v>Germany</v>
      </c>
      <c r="F33" s="111">
        <v>2</v>
      </c>
      <c r="G33" s="112">
        <v>1</v>
      </c>
      <c r="H33" s="93" t="str">
        <f>AB40</f>
        <v>Sweden</v>
      </c>
      <c r="J33" s="58" t="str">
        <f>VLOOKUP(1,AA32:AK35,2,FALSE)</f>
        <v>Brazil</v>
      </c>
      <c r="K33" s="59">
        <f>L33+M33+N33</f>
        <v>3</v>
      </c>
      <c r="L33" s="59">
        <f>VLOOKUP(1,AA32:AK35,3,FALSE)</f>
        <v>2</v>
      </c>
      <c r="M33" s="59">
        <f>VLOOKUP(1,AA32:AK35,4,FALSE)</f>
        <v>1</v>
      </c>
      <c r="N33" s="59">
        <f>VLOOKUP(1,AA32:AK35,5,FALSE)</f>
        <v>0</v>
      </c>
      <c r="O33" s="59" t="str">
        <f>VLOOKUP(1,AA32:AK35,6,FALSE) &amp; " - " &amp; VLOOKUP(1,AA32:AK35,7,FALSE)</f>
        <v>5 - 1</v>
      </c>
      <c r="P33" s="60">
        <f>L33*3+M33</f>
        <v>7</v>
      </c>
      <c r="R33" s="101">
        <f>DATE(2018,6,23)+TIME(7,0,0)+gmt_delta</f>
        <v>43274.75</v>
      </c>
      <c r="S33" s="106" t="str">
        <f t="shared" si="2"/>
        <v>Germany_win</v>
      </c>
      <c r="T33" s="106" t="str">
        <f t="shared" si="3"/>
        <v>Sweden_lose</v>
      </c>
      <c r="U33" s="102">
        <f t="shared" si="4"/>
        <v>0</v>
      </c>
      <c r="V33" s="101">
        <f t="shared" si="5"/>
        <v>0</v>
      </c>
      <c r="W33" s="101">
        <f t="shared" si="6"/>
        <v>0</v>
      </c>
      <c r="X33" s="101">
        <f t="shared" si="7"/>
        <v>0</v>
      </c>
      <c r="Y33" s="101">
        <f t="shared" si="9"/>
        <v>1</v>
      </c>
      <c r="AA33" s="101">
        <f>COUNTIF(AQ32:AQ35,CONCATENATE("&gt;=",AQ33))</f>
        <v>2</v>
      </c>
      <c r="AB33" s="102" t="str">
        <f>VLOOKUP("Switzerland",T,lang,FALSE)</f>
        <v>Switzerland</v>
      </c>
      <c r="AC33" s="101">
        <f>COUNTIF($S$7:$T$54,"=" &amp; AB33 &amp; "_win")</f>
        <v>1</v>
      </c>
      <c r="AD33" s="101">
        <f>COUNTIF($S$7:$T$54,"=" &amp; AB33 &amp; "_draw")</f>
        <v>2</v>
      </c>
      <c r="AE33" s="101">
        <f>COUNTIF($S$7:$T$54,"=" &amp; AB33 &amp; "_lose")</f>
        <v>0</v>
      </c>
      <c r="AF33" s="101">
        <f>SUMIF($E$7:$E$54,$AB33,$F$7:$F$54) + SUMIF($H$7:$H$54,$AB33,$G$7:$G$54)</f>
        <v>5</v>
      </c>
      <c r="AG33" s="101">
        <f>SUMIF($E$7:$E$54,$AB33,$G$7:$G$54) + SUMIF($H$7:$H$54,$AB33,$F$7:$F$54)</f>
        <v>4</v>
      </c>
      <c r="AH33" s="101">
        <f>(AF33-AG33)*100+AK33*10000+AF33</f>
        <v>50105</v>
      </c>
      <c r="AI33" s="101">
        <f>AF33-AG33</f>
        <v>1</v>
      </c>
      <c r="AJ33" s="101">
        <f>(AI33-AI37)/AI36</f>
        <v>0.5</v>
      </c>
      <c r="AK33" s="101">
        <f>AC33*3+AD33</f>
        <v>5</v>
      </c>
      <c r="AL33" s="101">
        <f>AS33/AS36*1000+AT33/AT36*100+AW33/AW36*10+AU33/AU36</f>
        <v>0</v>
      </c>
      <c r="AM33" s="101">
        <f>VLOOKUP(AB33,fair_play,2,FALSE)</f>
        <v>-7</v>
      </c>
      <c r="AN33" s="101">
        <f t="shared" ref="AN33:AN35" si="22">COUNTIF($AM$32:$AM$35,CONCATENATE("&lt;=",AM33))</f>
        <v>2</v>
      </c>
      <c r="AO33" s="101">
        <f>VLOOKUP(AB33,fair_play,3,FALSE)</f>
        <v>29</v>
      </c>
      <c r="AP33" s="101">
        <f t="shared" ref="AP33:AP35" si="23">COUNTIF($AO$32:$AO$35,CONCATENATE("&gt;=",AO33))</f>
        <v>1</v>
      </c>
      <c r="AQ33" s="102">
        <f>1000*AK33/AK36+100*AJ33+10*AF33/AF36+1*AL33/AL36+0.00001*AN33+0.000001*AP33</f>
        <v>776.78573528571428</v>
      </c>
      <c r="AR33" s="103" t="str">
        <f>IF(SUM(AC32:AE35)=12,J34,INDEX(T,79,lang))</f>
        <v>Switzerland</v>
      </c>
      <c r="AS33" s="104">
        <f>SUMPRODUCT(($S$7:$S$54=AB33&amp;"_win")*($U$7:$U$54))+SUMPRODUCT(($T$7:$T$54=AB33&amp;"_win")*($U$7:$U$54))</f>
        <v>0</v>
      </c>
      <c r="AT33" s="105">
        <f>SUMPRODUCT(($S$7:$S$54=AB33&amp;"_draw")*($U$7:$U$54))+SUMPRODUCT(($T$7:$T$54=AB33&amp;"_draw")*($U$7:$U$54))</f>
        <v>0</v>
      </c>
      <c r="AU33" s="105">
        <f>SUMPRODUCT(($E$7:$E$54=AB33)*($U$7:$U$54)*($F$7:$F$54))+SUMPRODUCT(($H$7:$H$54=AB33)*($U$7:$U$54)*($G$7:$G$54))</f>
        <v>0</v>
      </c>
      <c r="AV33" s="105">
        <f>SUMPRODUCT(($E$7:$E$54=AB33)*($U$7:$U$54)*($G$7:$G$54))+SUMPRODUCT(($H$7:$H$54=AB33)*($U$7:$U$54)*($F$7:$F$54))</f>
        <v>0</v>
      </c>
      <c r="AW33" s="105">
        <f>AU33-AV33</f>
        <v>0</v>
      </c>
      <c r="BB33" s="27" t="str">
        <f>INDEX(T,24+MONTH(R64),lang) &amp; " " &amp; DAY(R64) &amp; ", " &amp; YEAR(R64) &amp; "   " &amp; (IF(HOUR(R64)&lt;10,0,"") &amp; HOUR(R64)) &amp; ":" &amp; (IF(MINUTE(R64)&lt;10,0,"") &amp; MINUTE(R64))</f>
        <v>Jul 3, 2018   14:00</v>
      </c>
      <c r="BC33" s="27"/>
      <c r="BD33" s="27"/>
      <c r="BE33" s="27"/>
      <c r="BF33" s="35"/>
      <c r="BG33" s="27"/>
      <c r="BH33" s="27"/>
      <c r="BI33" s="27"/>
      <c r="BJ33" s="27"/>
      <c r="BK33" s="27"/>
      <c r="BL33" s="27"/>
      <c r="BM33" s="27"/>
      <c r="BN33" s="36"/>
      <c r="BO33" s="39"/>
      <c r="BP33" s="136"/>
      <c r="BQ33" s="32" t="str">
        <f>T72</f>
        <v>England</v>
      </c>
      <c r="BR33" s="89">
        <v>1</v>
      </c>
      <c r="BS33" s="91">
        <v>1</v>
      </c>
      <c r="BT33" s="33"/>
      <c r="BU33" s="41"/>
      <c r="BV33" s="41"/>
      <c r="BW33" s="27"/>
      <c r="BX33" s="27"/>
      <c r="BY33" s="27"/>
      <c r="BZ33" s="27"/>
      <c r="CA33" s="27"/>
    </row>
    <row r="34" spans="1:79" ht="15" customHeight="1" x14ac:dyDescent="0.25">
      <c r="A34" s="23">
        <v>28</v>
      </c>
      <c r="B34" s="24" t="str">
        <f t="shared" si="0"/>
        <v>Sat</v>
      </c>
      <c r="C34" s="25" t="str">
        <f t="shared" si="1"/>
        <v>Jun 23, 2018</v>
      </c>
      <c r="D34" s="26">
        <f t="shared" si="8"/>
        <v>0.625</v>
      </c>
      <c r="E34" s="96" t="str">
        <f>AB41</f>
        <v>Korea Republic</v>
      </c>
      <c r="F34" s="111">
        <v>1</v>
      </c>
      <c r="G34" s="112">
        <v>2</v>
      </c>
      <c r="H34" s="93" t="str">
        <f>AB39</f>
        <v>Mexico</v>
      </c>
      <c r="J34" s="61" t="str">
        <f>VLOOKUP(2,AA32:AK35,2,FALSE)</f>
        <v>Switzerland</v>
      </c>
      <c r="K34" s="29">
        <f>L34+M34+N34</f>
        <v>3</v>
      </c>
      <c r="L34" s="29">
        <f>VLOOKUP(2,AA32:AK35,3,FALSE)</f>
        <v>1</v>
      </c>
      <c r="M34" s="29">
        <f>VLOOKUP(2,AA32:AK35,4,FALSE)</f>
        <v>2</v>
      </c>
      <c r="N34" s="29">
        <f>VLOOKUP(2,AA32:AK35,5,FALSE)</f>
        <v>0</v>
      </c>
      <c r="O34" s="29" t="str">
        <f>VLOOKUP(2,AA32:AK35,6,FALSE) &amp; " - " &amp; VLOOKUP(2,AA32:AK35,7,FALSE)</f>
        <v>5 - 4</v>
      </c>
      <c r="P34" s="62">
        <f>L34*3+M34</f>
        <v>5</v>
      </c>
      <c r="R34" s="101">
        <f>DATE(2018,6,23)+TIME(4,0,0)+gmt_delta</f>
        <v>43274.625</v>
      </c>
      <c r="S34" s="106" t="str">
        <f t="shared" si="2"/>
        <v>Korea Republic_lose</v>
      </c>
      <c r="T34" s="106" t="str">
        <f t="shared" si="3"/>
        <v>Mexico_win</v>
      </c>
      <c r="U34" s="102">
        <f t="shared" si="4"/>
        <v>0</v>
      </c>
      <c r="V34" s="101">
        <f t="shared" si="5"/>
        <v>0</v>
      </c>
      <c r="W34" s="101">
        <f t="shared" si="6"/>
        <v>0</v>
      </c>
      <c r="X34" s="101">
        <f t="shared" si="7"/>
        <v>0</v>
      </c>
      <c r="Y34" s="101">
        <f t="shared" si="9"/>
        <v>-1</v>
      </c>
      <c r="AA34" s="101">
        <f>COUNTIF(AQ32:AQ35,CONCATENATE("&gt;=",AQ34))</f>
        <v>4</v>
      </c>
      <c r="AB34" s="102" t="str">
        <f>VLOOKUP("Costa Rica",T,lang,FALSE)</f>
        <v>Costa Rica</v>
      </c>
      <c r="AC34" s="101">
        <f>COUNTIF($S$7:$T$54,"=" &amp; AB34 &amp; "_win")</f>
        <v>0</v>
      </c>
      <c r="AD34" s="101">
        <f>COUNTIF($S$7:$T$54,"=" &amp; AB34 &amp; "_draw")</f>
        <v>1</v>
      </c>
      <c r="AE34" s="101">
        <f>COUNTIF($S$7:$T$54,"=" &amp; AB34 &amp; "_lose")</f>
        <v>2</v>
      </c>
      <c r="AF34" s="101">
        <f>SUMIF($E$7:$E$54,$AB34,$F$7:$F$54) + SUMIF($H$7:$H$54,$AB34,$G$7:$G$54)</f>
        <v>2</v>
      </c>
      <c r="AG34" s="101">
        <f>SUMIF($E$7:$E$54,$AB34,$G$7:$G$54) + SUMIF($H$7:$H$54,$AB34,$F$7:$F$54)</f>
        <v>5</v>
      </c>
      <c r="AH34" s="101">
        <f>(AF34-AG34)*100+AK34*10000+AF34</f>
        <v>9702</v>
      </c>
      <c r="AI34" s="101">
        <f>AF34-AG34</f>
        <v>-3</v>
      </c>
      <c r="AJ34" s="101">
        <f>(AI34-AI37)/AI36</f>
        <v>0</v>
      </c>
      <c r="AK34" s="101">
        <f>AC34*3+AD34</f>
        <v>1</v>
      </c>
      <c r="AL34" s="101">
        <f>AS34/AS36*1000+AT34/AT36*100+AW34/AW36*10+AU34/AU36</f>
        <v>0</v>
      </c>
      <c r="AM34" s="101">
        <f>VLOOKUP(AB34,fair_play,2,FALSE)</f>
        <v>-6</v>
      </c>
      <c r="AN34" s="101">
        <f t="shared" si="22"/>
        <v>3</v>
      </c>
      <c r="AO34" s="101">
        <f>VLOOKUP(AB34,fair_play,3,FALSE)</f>
        <v>5</v>
      </c>
      <c r="AP34" s="101">
        <f t="shared" si="23"/>
        <v>3</v>
      </c>
      <c r="AQ34" s="102">
        <f>1000*AK34/AK36+100*AJ34+10*AF34/AF36+1*AL34/AL36+0.00001*AN34+0.000001*AP34</f>
        <v>147.85717585714286</v>
      </c>
      <c r="AS34" s="104">
        <f>SUMPRODUCT(($S$7:$S$54=AB34&amp;"_win")*($U$7:$U$54))+SUMPRODUCT(($T$7:$T$54=AB34&amp;"_win")*($U$7:$U$54))</f>
        <v>0</v>
      </c>
      <c r="AT34" s="105">
        <f>SUMPRODUCT(($S$7:$S$54=AB34&amp;"_draw")*($U$7:$U$54))+SUMPRODUCT(($T$7:$T$54=AB34&amp;"_draw")*($U$7:$U$54))</f>
        <v>0</v>
      </c>
      <c r="AU34" s="105">
        <f>SUMPRODUCT(($E$7:$E$54=AB34)*($U$7:$U$54)*($F$7:$F$54))+SUMPRODUCT(($H$7:$H$54=AB34)*($U$7:$U$54)*($G$7:$G$54))</f>
        <v>0</v>
      </c>
      <c r="AV34" s="105">
        <f>SUMPRODUCT(($E$7:$E$54=AB34)*($U$7:$U$54)*($G$7:$G$54))+SUMPRODUCT(($H$7:$H$54=AB34)*($U$7:$U$54)*($F$7:$F$54))</f>
        <v>0</v>
      </c>
      <c r="AW34" s="105">
        <f>AU34-AV34</f>
        <v>0</v>
      </c>
      <c r="BB34" s="135">
        <v>55</v>
      </c>
      <c r="BC34" s="30" t="str">
        <f>AR38</f>
        <v>Sweden</v>
      </c>
      <c r="BD34" s="88">
        <v>1</v>
      </c>
      <c r="BE34" s="90"/>
      <c r="BF34" s="31"/>
      <c r="BG34" s="27"/>
      <c r="BH34" s="27"/>
      <c r="BI34" s="27"/>
      <c r="BJ34" s="27"/>
      <c r="BK34" s="27"/>
      <c r="BL34" s="27"/>
      <c r="BM34" s="27"/>
      <c r="BN34" s="36"/>
      <c r="BO34" s="27"/>
      <c r="BP34" s="27"/>
      <c r="BQ34" s="27"/>
      <c r="BR34" s="27"/>
      <c r="BS34" s="27"/>
      <c r="BT34" s="27"/>
      <c r="BU34" s="27"/>
      <c r="BV34" s="27"/>
      <c r="BW34" s="27" t="str">
        <f>INDEX(T,24+MONTH(R81),lang) &amp; " " &amp; DAY(R81) &amp; ", " &amp; YEAR(R81) &amp; "   " &amp;  (IF(HOUR(R81)&lt;10,0,"") &amp; HOUR(R81)) &amp; ":" &amp; (IF(MINUTE(R81)&lt;10,0,"") &amp; MINUTE(R81))</f>
        <v>Jul 14, 2018   14:00</v>
      </c>
      <c r="BX34" s="27"/>
      <c r="BY34" s="27"/>
      <c r="BZ34" s="27"/>
      <c r="CA34" s="35"/>
    </row>
    <row r="35" spans="1:79" ht="15" customHeight="1" x14ac:dyDescent="0.25">
      <c r="A35" s="23">
        <v>29</v>
      </c>
      <c r="B35" s="24" t="str">
        <f t="shared" si="0"/>
        <v>Sat</v>
      </c>
      <c r="C35" s="25" t="str">
        <f t="shared" si="1"/>
        <v>Jun 23, 2018</v>
      </c>
      <c r="D35" s="26">
        <f t="shared" si="8"/>
        <v>0.5</v>
      </c>
      <c r="E35" s="96" t="str">
        <f>AB44</f>
        <v>Belgium</v>
      </c>
      <c r="F35" s="111">
        <v>5</v>
      </c>
      <c r="G35" s="112">
        <v>2</v>
      </c>
      <c r="H35" s="93" t="str">
        <f>AB46</f>
        <v>Tunisia</v>
      </c>
      <c r="J35" s="61" t="str">
        <f>VLOOKUP(3,AA32:AK35,2,FALSE)</f>
        <v>Serbia</v>
      </c>
      <c r="K35" s="29">
        <f>L35+M35+N35</f>
        <v>3</v>
      </c>
      <c r="L35" s="29">
        <f>VLOOKUP(3,AA32:AK35,3,FALSE)</f>
        <v>1</v>
      </c>
      <c r="M35" s="29">
        <f>VLOOKUP(3,AA32:AK35,4,FALSE)</f>
        <v>0</v>
      </c>
      <c r="N35" s="29">
        <f>VLOOKUP(3,AA32:AK35,5,FALSE)</f>
        <v>2</v>
      </c>
      <c r="O35" s="29" t="str">
        <f>VLOOKUP(3,AA32:AK35,6,FALSE) &amp; " - " &amp; VLOOKUP(3,AA32:AK35,7,FALSE)</f>
        <v>2 - 4</v>
      </c>
      <c r="P35" s="62">
        <f>L35*3+M35</f>
        <v>3</v>
      </c>
      <c r="R35" s="101">
        <f>DATE(2018,6,23)+TIME(1,0,0)+gmt_delta</f>
        <v>43274.5</v>
      </c>
      <c r="S35" s="106" t="str">
        <f t="shared" si="2"/>
        <v>Belgium_win</v>
      </c>
      <c r="T35" s="106" t="str">
        <f t="shared" si="3"/>
        <v>Tunisia_lose</v>
      </c>
      <c r="U35" s="102">
        <f t="shared" si="4"/>
        <v>0</v>
      </c>
      <c r="V35" s="101">
        <f t="shared" si="5"/>
        <v>0</v>
      </c>
      <c r="W35" s="101">
        <f t="shared" si="6"/>
        <v>0</v>
      </c>
      <c r="X35" s="101">
        <f t="shared" si="7"/>
        <v>0</v>
      </c>
      <c r="Y35" s="101">
        <f t="shared" si="9"/>
        <v>1</v>
      </c>
      <c r="AA35" s="101">
        <f>COUNTIF(AQ32:AQ35,CONCATENATE("&gt;=",AQ35))</f>
        <v>3</v>
      </c>
      <c r="AB35" s="102" t="str">
        <f>VLOOKUP("Serbia",T,lang,FALSE)</f>
        <v>Serbia</v>
      </c>
      <c r="AC35" s="101">
        <f>COUNTIF($S$7:$T$54,"=" &amp; AB35 &amp; "_win")</f>
        <v>1</v>
      </c>
      <c r="AD35" s="101">
        <f>COUNTIF($S$7:$T$54,"=" &amp; AB35 &amp; "_draw")</f>
        <v>0</v>
      </c>
      <c r="AE35" s="101">
        <f>COUNTIF($S$7:$T$54,"=" &amp; AB35 &amp; "_lose")</f>
        <v>2</v>
      </c>
      <c r="AF35" s="101">
        <f>SUMIF($E$7:$E$54,$AB35,$F$7:$F$54) + SUMIF($H$7:$H$54,$AB35,$G$7:$G$54)</f>
        <v>2</v>
      </c>
      <c r="AG35" s="101">
        <f>SUMIF($E$7:$E$54,$AB35,$G$7:$G$54) + SUMIF($H$7:$H$54,$AB35,$F$7:$F$54)</f>
        <v>4</v>
      </c>
      <c r="AH35" s="101">
        <f>(AF35-AG35)*100+AK35*10000+AF35</f>
        <v>29802</v>
      </c>
      <c r="AI35" s="101">
        <f>AF35-AG35</f>
        <v>-2</v>
      </c>
      <c r="AJ35" s="101">
        <f>(AI35-AI37)/AI36</f>
        <v>0.125</v>
      </c>
      <c r="AK35" s="101">
        <f>AC35*3+AD35</f>
        <v>3</v>
      </c>
      <c r="AL35" s="101">
        <f>AS35/AS36*1000+AT35/AT36*100+AW35/AW36*10+AU35/AU36</f>
        <v>0</v>
      </c>
      <c r="AM35" s="101">
        <f>VLOOKUP(AB35,fair_play,2,FALSE)</f>
        <v>-10</v>
      </c>
      <c r="AN35" s="101">
        <f t="shared" si="22"/>
        <v>1</v>
      </c>
      <c r="AO35" s="101">
        <f>VLOOKUP(AB35,fair_play,3,FALSE)</f>
        <v>26</v>
      </c>
      <c r="AP35" s="101">
        <f t="shared" si="23"/>
        <v>2</v>
      </c>
      <c r="AQ35" s="102">
        <f>1000*AK35/AK36+100*AJ35+10*AF35/AF36+1*AL35/AL36+0.00001*AN35+0.000001*AP35</f>
        <v>446.07144057142852</v>
      </c>
      <c r="AS35" s="104">
        <f>SUMPRODUCT(($S$7:$S$54=AB35&amp;"_win")*($U$7:$U$54))+SUMPRODUCT(($T$7:$T$54=AB35&amp;"_win")*($U$7:$U$54))</f>
        <v>0</v>
      </c>
      <c r="AT35" s="105">
        <f>SUMPRODUCT(($S$7:$S$54=AB35&amp;"_draw")*($U$7:$U$54))+SUMPRODUCT(($T$7:$T$54=AB35&amp;"_draw")*($U$7:$U$54))</f>
        <v>0</v>
      </c>
      <c r="AU35" s="105">
        <f>SUMPRODUCT(($E$7:$E$54=AB35)*($U$7:$U$54)*($F$7:$F$54))+SUMPRODUCT(($H$7:$H$54=AB35)*($U$7:$U$54)*($G$7:$G$54))</f>
        <v>0</v>
      </c>
      <c r="AV35" s="105">
        <f>SUMPRODUCT(($E$7:$E$54=AB35)*($U$7:$U$54)*($G$7:$G$54))+SUMPRODUCT(($H$7:$H$54=AB35)*($U$7:$U$54)*($F$7:$F$54))</f>
        <v>0</v>
      </c>
      <c r="AW35" s="105">
        <f>AU35-AV35</f>
        <v>0</v>
      </c>
      <c r="BB35" s="136"/>
      <c r="BC35" s="32" t="str">
        <f>AR33</f>
        <v>Switzerland</v>
      </c>
      <c r="BD35" s="89">
        <v>0</v>
      </c>
      <c r="BE35" s="91"/>
      <c r="BF35" s="33"/>
      <c r="BG35" s="34"/>
      <c r="BH35" s="27"/>
      <c r="BI35" s="27" t="str">
        <f>INDEX(T,24+MONTH(R72),lang) &amp; " " &amp; DAY(R72) &amp; ", " &amp; YEAR(R72) &amp; "   " &amp; (IF(HOUR(R72)&lt;10,0,"") &amp; HOUR(R72)) &amp; ":" &amp; (IF(MINUTE(R72)&lt;10,0,"") &amp; MINUTE(R72))</f>
        <v>Jul 7, 2018   14:00</v>
      </c>
      <c r="BJ35" s="27"/>
      <c r="BK35" s="27"/>
      <c r="BL35" s="27"/>
      <c r="BM35" s="35"/>
      <c r="BN35" s="36"/>
      <c r="BO35" s="27"/>
      <c r="BP35" s="27"/>
      <c r="BQ35" s="27"/>
      <c r="BR35" s="27"/>
      <c r="BS35" s="27"/>
      <c r="BT35" s="27"/>
      <c r="BU35" s="27"/>
      <c r="BV35" s="27"/>
      <c r="BW35" s="135">
        <v>63</v>
      </c>
      <c r="BX35" s="30" t="str">
        <f>Z76</f>
        <v>Belgium</v>
      </c>
      <c r="BY35" s="88">
        <v>2</v>
      </c>
      <c r="BZ35" s="90"/>
      <c r="CA35" s="31"/>
    </row>
    <row r="36" spans="1:79" ht="15" customHeight="1" x14ac:dyDescent="0.25">
      <c r="A36" s="23">
        <v>30</v>
      </c>
      <c r="B36" s="24" t="str">
        <f t="shared" si="0"/>
        <v>Sun</v>
      </c>
      <c r="C36" s="25" t="str">
        <f t="shared" si="1"/>
        <v>Jun 24, 2018</v>
      </c>
      <c r="D36" s="26">
        <f t="shared" si="8"/>
        <v>0.5</v>
      </c>
      <c r="E36" s="96" t="str">
        <f>AB47</f>
        <v>England</v>
      </c>
      <c r="F36" s="111">
        <v>6</v>
      </c>
      <c r="G36" s="112">
        <v>1</v>
      </c>
      <c r="H36" s="93" t="str">
        <f>AB45</f>
        <v>Panama</v>
      </c>
      <c r="J36" s="63" t="str">
        <f>VLOOKUP(4,AA32:AK35,2,FALSE)</f>
        <v>Costa Rica</v>
      </c>
      <c r="K36" s="64">
        <f>L36+M36+N36</f>
        <v>3</v>
      </c>
      <c r="L36" s="64">
        <f>VLOOKUP(4,AA32:AK35,3,FALSE)</f>
        <v>0</v>
      </c>
      <c r="M36" s="64">
        <f>VLOOKUP(4,AA32:AK35,4,FALSE)</f>
        <v>1</v>
      </c>
      <c r="N36" s="64">
        <f>VLOOKUP(4,AA32:AK35,5,FALSE)</f>
        <v>2</v>
      </c>
      <c r="O36" s="64" t="str">
        <f>VLOOKUP(4,AA32:AK35,6,FALSE) &amp; " - " &amp; VLOOKUP(4,AA32:AK35,7,FALSE)</f>
        <v>2 - 5</v>
      </c>
      <c r="P36" s="65">
        <f>L36*3+M36</f>
        <v>1</v>
      </c>
      <c r="R36" s="101">
        <f>DATE(2018,6,24)+TIME(1,0,0)+gmt_delta</f>
        <v>43275.5</v>
      </c>
      <c r="S36" s="106" t="str">
        <f t="shared" si="2"/>
        <v>England_win</v>
      </c>
      <c r="T36" s="106" t="str">
        <f t="shared" si="3"/>
        <v>Panama_lose</v>
      </c>
      <c r="U36" s="102">
        <f t="shared" si="4"/>
        <v>0</v>
      </c>
      <c r="V36" s="101">
        <f t="shared" si="5"/>
        <v>0</v>
      </c>
      <c r="W36" s="101">
        <f t="shared" si="6"/>
        <v>0</v>
      </c>
      <c r="X36" s="101">
        <f t="shared" si="7"/>
        <v>0</v>
      </c>
      <c r="Y36" s="101">
        <f t="shared" si="9"/>
        <v>1</v>
      </c>
      <c r="AC36" s="101">
        <f t="shared" ref="AC36:AL36" si="24">MAX(AC32:AC35)-MIN(AC32:AC35)+1</f>
        <v>3</v>
      </c>
      <c r="AD36" s="101">
        <f t="shared" si="24"/>
        <v>3</v>
      </c>
      <c r="AE36" s="101">
        <f t="shared" si="24"/>
        <v>3</v>
      </c>
      <c r="AF36" s="101">
        <f t="shared" si="24"/>
        <v>4</v>
      </c>
      <c r="AG36" s="101">
        <f t="shared" si="24"/>
        <v>5</v>
      </c>
      <c r="AH36" s="101">
        <f>MAX(AH32:AH35)-AH37+1</f>
        <v>60704</v>
      </c>
      <c r="AI36" s="101">
        <f>MAX(AI32:AI35)-AI37+1</f>
        <v>8</v>
      </c>
      <c r="AK36" s="101">
        <f t="shared" si="24"/>
        <v>7</v>
      </c>
      <c r="AL36" s="101">
        <f t="shared" si="24"/>
        <v>1</v>
      </c>
      <c r="AM36" s="101"/>
      <c r="AN36" s="101"/>
      <c r="AO36" s="101"/>
      <c r="AP36" s="101"/>
      <c r="AS36" s="101">
        <f>MAX(AS32:AS35)-MIN(AS32:AS35)+1</f>
        <v>1</v>
      </c>
      <c r="AT36" s="101">
        <f>MAX(AT32:AT35)-MIN(AT32:AT35)+1</f>
        <v>1</v>
      </c>
      <c r="AU36" s="101">
        <f>MAX(AU32:AU35)-MIN(AU32:AU35)+1</f>
        <v>1</v>
      </c>
      <c r="AV36" s="101">
        <f>MAX(AV32:AV35)-MIN(AV32:AV35)+1</f>
        <v>1</v>
      </c>
      <c r="AW36" s="101">
        <f>MAX(AW32:AW35)-MIN(AW32:AW35)+1</f>
        <v>1</v>
      </c>
      <c r="BB36" s="27"/>
      <c r="BC36" s="27"/>
      <c r="BD36" s="27"/>
      <c r="BE36" s="27"/>
      <c r="BF36" s="27"/>
      <c r="BG36" s="36"/>
      <c r="BH36" s="27"/>
      <c r="BI36" s="135">
        <v>60</v>
      </c>
      <c r="BJ36" s="30" t="str">
        <f>T64</f>
        <v>Sweden</v>
      </c>
      <c r="BK36" s="88">
        <v>0</v>
      </c>
      <c r="BL36" s="90"/>
      <c r="BM36" s="31"/>
      <c r="BN36" s="40"/>
      <c r="BO36" s="27"/>
      <c r="BP36" s="27"/>
      <c r="BQ36" s="27"/>
      <c r="BR36" s="27"/>
      <c r="BS36" s="27"/>
      <c r="BT36" s="27"/>
      <c r="BU36" s="27"/>
      <c r="BV36" s="27"/>
      <c r="BW36" s="136"/>
      <c r="BX36" s="32" t="str">
        <f>Z77</f>
        <v>England</v>
      </c>
      <c r="BY36" s="89">
        <v>0</v>
      </c>
      <c r="BZ36" s="91"/>
      <c r="CA36" s="33"/>
    </row>
    <row r="37" spans="1:79" ht="15" customHeight="1" x14ac:dyDescent="0.25">
      <c r="A37" s="23">
        <v>31</v>
      </c>
      <c r="B37" s="24" t="str">
        <f t="shared" si="0"/>
        <v>Sun</v>
      </c>
      <c r="C37" s="25" t="str">
        <f t="shared" si="1"/>
        <v>Jun 24, 2018</v>
      </c>
      <c r="D37" s="26">
        <f t="shared" si="8"/>
        <v>0.75</v>
      </c>
      <c r="E37" s="96" t="str">
        <f>AB50</f>
        <v>Poland</v>
      </c>
      <c r="F37" s="111">
        <v>0</v>
      </c>
      <c r="G37" s="112">
        <v>3</v>
      </c>
      <c r="H37" s="93" t="str">
        <f>AB52</f>
        <v>Colombia</v>
      </c>
      <c r="R37" s="101">
        <f>DATE(2018,6,24)+TIME(7,0,0)+gmt_delta</f>
        <v>43275.75</v>
      </c>
      <c r="S37" s="106" t="str">
        <f t="shared" si="2"/>
        <v>Poland_lose</v>
      </c>
      <c r="T37" s="106" t="str">
        <f t="shared" si="3"/>
        <v>Colombia_win</v>
      </c>
      <c r="U37" s="102">
        <f t="shared" si="4"/>
        <v>0</v>
      </c>
      <c r="V37" s="101">
        <f t="shared" si="5"/>
        <v>0</v>
      </c>
      <c r="W37" s="101">
        <f t="shared" si="6"/>
        <v>0</v>
      </c>
      <c r="X37" s="101">
        <f t="shared" si="7"/>
        <v>0</v>
      </c>
      <c r="Y37" s="101">
        <f t="shared" si="9"/>
        <v>-1</v>
      </c>
      <c r="AH37" s="101">
        <f>MIN(AH32:AH35)</f>
        <v>9702</v>
      </c>
      <c r="AI37" s="101">
        <f>MIN(AI32:AI35)</f>
        <v>-3</v>
      </c>
      <c r="AO37" s="101"/>
      <c r="AP37" s="101"/>
      <c r="BB37" s="27" t="str">
        <f>INDEX(T,24+MONTH(R65),lang) &amp; " " &amp; DAY(R65) &amp; ", " &amp; YEAR(R65) &amp; "   " &amp; (IF(HOUR(R65)&lt;10,0,"") &amp; HOUR(R65)) &amp; ":" &amp; (IF(MINUTE(R65)&lt;10,0,"") &amp; MINUTE(R65))</f>
        <v>Jul 3, 2018   18:00</v>
      </c>
      <c r="BC37" s="27"/>
      <c r="BD37" s="27"/>
      <c r="BE37" s="27"/>
      <c r="BF37" s="35"/>
      <c r="BG37" s="36"/>
      <c r="BH37" s="39"/>
      <c r="BI37" s="136"/>
      <c r="BJ37" s="32" t="str">
        <f>T65</f>
        <v>England</v>
      </c>
      <c r="BK37" s="89">
        <v>2</v>
      </c>
      <c r="BL37" s="91"/>
      <c r="BM37" s="33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</row>
    <row r="38" spans="1:79" ht="15" customHeight="1" x14ac:dyDescent="0.25">
      <c r="A38" s="23">
        <v>32</v>
      </c>
      <c r="B38" s="24" t="str">
        <f t="shared" si="0"/>
        <v>Sun</v>
      </c>
      <c r="C38" s="25" t="str">
        <f t="shared" si="1"/>
        <v>Jun 24, 2018</v>
      </c>
      <c r="D38" s="26">
        <f t="shared" si="8"/>
        <v>0.625</v>
      </c>
      <c r="E38" s="96" t="str">
        <f>AB53</f>
        <v>Japan</v>
      </c>
      <c r="F38" s="111">
        <v>2</v>
      </c>
      <c r="G38" s="112">
        <v>2</v>
      </c>
      <c r="H38" s="93" t="str">
        <f>AB51</f>
        <v>Senegal</v>
      </c>
      <c r="J38" s="66" t="str">
        <f>INDEX(T,9,lang) &amp; " " &amp; "F"</f>
        <v>Group F</v>
      </c>
      <c r="K38" s="67" t="str">
        <f>INDEX(T,10,lang)</f>
        <v>PL</v>
      </c>
      <c r="L38" s="67" t="str">
        <f>INDEX(T,11,lang)</f>
        <v>W</v>
      </c>
      <c r="M38" s="67" t="str">
        <f>INDEX(T,12,lang)</f>
        <v>DRAW</v>
      </c>
      <c r="N38" s="67" t="str">
        <f>INDEX(T,13,lang)</f>
        <v>L</v>
      </c>
      <c r="O38" s="67" t="str">
        <f>INDEX(T,14,lang)</f>
        <v>GF - GA</v>
      </c>
      <c r="P38" s="68" t="str">
        <f>INDEX(T,15,lang)</f>
        <v>PNT</v>
      </c>
      <c r="R38" s="101">
        <f>DATE(2018,6,24)+TIME(4,0,0)+gmt_delta</f>
        <v>43275.625</v>
      </c>
      <c r="S38" s="106" t="str">
        <f t="shared" si="2"/>
        <v>Japan_draw</v>
      </c>
      <c r="T38" s="106" t="str">
        <f t="shared" si="3"/>
        <v>Senegal_draw</v>
      </c>
      <c r="U38" s="102">
        <f t="shared" si="4"/>
        <v>1</v>
      </c>
      <c r="V38" s="101">
        <f t="shared" si="5"/>
        <v>2</v>
      </c>
      <c r="W38" s="101">
        <f t="shared" si="6"/>
        <v>2</v>
      </c>
      <c r="X38" s="101">
        <f t="shared" si="7"/>
        <v>0</v>
      </c>
      <c r="Y38" s="101">
        <f t="shared" si="9"/>
        <v>0</v>
      </c>
      <c r="AA38" s="101">
        <f>COUNTIF(AQ38:AQ41,CONCATENATE("&gt;=",AQ38))</f>
        <v>4</v>
      </c>
      <c r="AB38" s="102" t="str">
        <f>VLOOKUP("Germany",T,lang,FALSE)</f>
        <v>Germany</v>
      </c>
      <c r="AC38" s="101">
        <f>COUNTIF($S$7:$T$54,"=" &amp; AB38 &amp; "_win")</f>
        <v>1</v>
      </c>
      <c r="AD38" s="101">
        <f>COUNTIF($S$7:$T$54,"=" &amp; AB38 &amp; "_draw")</f>
        <v>0</v>
      </c>
      <c r="AE38" s="101">
        <f>COUNTIF($S$7:$T$54,"=" &amp; AB38 &amp; "_lose")</f>
        <v>2</v>
      </c>
      <c r="AF38" s="101">
        <f>SUMIF($E$7:$E$54,$AB38,$F$7:$F$54) + SUMIF($H$7:$H$54,$AB38,$G$7:$G$54)</f>
        <v>2</v>
      </c>
      <c r="AG38" s="101">
        <f>SUMIF($E$7:$E$54,$AB38,$G$7:$G$54) + SUMIF($H$7:$H$54,$AB38,$F$7:$F$54)</f>
        <v>4</v>
      </c>
      <c r="AH38" s="101">
        <f>(AF38-AG38)*100+AK38*10000+AF38</f>
        <v>29802</v>
      </c>
      <c r="AI38" s="101">
        <f>AF38-AG38</f>
        <v>-2</v>
      </c>
      <c r="AJ38" s="101">
        <f>(AI38-AI43)/AI42</f>
        <v>0</v>
      </c>
      <c r="AK38" s="101">
        <f>AC38*3+AD38</f>
        <v>3</v>
      </c>
      <c r="AL38" s="101">
        <f>AS38/AS42*1000+AT38/AT42*100+AW38/AW42*10+AU38/AU42</f>
        <v>0</v>
      </c>
      <c r="AM38" s="101">
        <f>VLOOKUP(AB38,fair_play,2,FALSE)</f>
        <v>-5</v>
      </c>
      <c r="AN38" s="101">
        <f>COUNTIF($AM$38:$AM$41,CONCATENATE("&lt;=",AM38))</f>
        <v>4</v>
      </c>
      <c r="AO38" s="101">
        <f>VLOOKUP(AB38,fair_play,3,FALSE)</f>
        <v>11</v>
      </c>
      <c r="AP38" s="101">
        <f>COUNTIF($AO$38:$AO$41,CONCATENATE("&gt;=",AO38))</f>
        <v>4</v>
      </c>
      <c r="AQ38" s="102">
        <f>1000*AK38/AK42+100*AJ38+10*AF38/AF42+1*AL38/AL42+0.00001*AN38+0.000001*AP38</f>
        <v>755.000044</v>
      </c>
      <c r="AR38" s="103" t="str">
        <f>IF(SUM(AC38:AE41)=12,J39,INDEX(T,80,lang))</f>
        <v>Sweden</v>
      </c>
      <c r="AS38" s="104">
        <f>SUMPRODUCT(($S$7:$S$54=AB38&amp;"_win")*($U$7:$U$54))+SUMPRODUCT(($T$7:$T$54=AB38&amp;"_win")*($U$7:$U$54))</f>
        <v>0</v>
      </c>
      <c r="AT38" s="105">
        <f>SUMPRODUCT(($S$7:$S$54=AB38&amp;"_draw")*($U$7:$U$54))+SUMPRODUCT(($T$7:$T$54=AB38&amp;"_draw")*($U$7:$U$54))</f>
        <v>0</v>
      </c>
      <c r="AU38" s="105">
        <f>SUMPRODUCT(($E$7:$E$54=AB38)*($U$7:$U$54)*($F$7:$F$54))+SUMPRODUCT(($H$7:$H$54=AB38)*($U$7:$U$54)*($G$7:$G$54))</f>
        <v>0</v>
      </c>
      <c r="AV38" s="105">
        <f>SUMPRODUCT(($E$7:$E$54=AB38)*($U$7:$U$54)*($G$7:$G$54))+SUMPRODUCT(($H$7:$H$54=AB38)*($U$7:$U$54)*($F$7:$F$54))</f>
        <v>0</v>
      </c>
      <c r="AW38" s="105">
        <f>AU38-AV38</f>
        <v>0</v>
      </c>
      <c r="BB38" s="135">
        <v>56</v>
      </c>
      <c r="BC38" s="30" t="str">
        <f>AR50</f>
        <v>Colombia</v>
      </c>
      <c r="BD38" s="88">
        <v>1</v>
      </c>
      <c r="BE38" s="90">
        <v>1</v>
      </c>
      <c r="BF38" s="31">
        <v>3</v>
      </c>
      <c r="BG38" s="40"/>
      <c r="BH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</row>
    <row r="39" spans="1:79" ht="15" customHeight="1" x14ac:dyDescent="0.25">
      <c r="A39" s="23">
        <v>33</v>
      </c>
      <c r="B39" s="24" t="str">
        <f t="shared" si="0"/>
        <v>Mon</v>
      </c>
      <c r="C39" s="25" t="str">
        <f t="shared" si="1"/>
        <v>Jun 25, 2018</v>
      </c>
      <c r="D39" s="26">
        <f t="shared" si="8"/>
        <v>0.58333333333333337</v>
      </c>
      <c r="E39" s="96" t="str">
        <f>AB11</f>
        <v>Uruguay</v>
      </c>
      <c r="F39" s="111">
        <v>3</v>
      </c>
      <c r="G39" s="112">
        <v>0</v>
      </c>
      <c r="H39" s="93" t="str">
        <f>AB8</f>
        <v>Russia</v>
      </c>
      <c r="J39" s="58" t="str">
        <f>VLOOKUP(1,AA38:AK41,2,FALSE)</f>
        <v>Sweden</v>
      </c>
      <c r="K39" s="59">
        <f>L39+M39+N39</f>
        <v>3</v>
      </c>
      <c r="L39" s="59">
        <f>VLOOKUP(1,AA38:AK41,3,FALSE)</f>
        <v>2</v>
      </c>
      <c r="M39" s="59">
        <f>VLOOKUP(1,AA38:AK41,4,FALSE)</f>
        <v>0</v>
      </c>
      <c r="N39" s="59">
        <f>VLOOKUP(1,AA38:AK41,5,FALSE)</f>
        <v>1</v>
      </c>
      <c r="O39" s="59" t="str">
        <f>VLOOKUP(1,AA38:AK41,6,FALSE) &amp; " - " &amp; VLOOKUP(1,AA38:AK41,7,FALSE)</f>
        <v>5 - 2</v>
      </c>
      <c r="P39" s="60">
        <f>L39*3+M39</f>
        <v>6</v>
      </c>
      <c r="R39" s="101">
        <f>DATE(2018,6,25)+TIME(3,0,0)+gmt_delta</f>
        <v>43276.583333333336</v>
      </c>
      <c r="S39" s="106" t="str">
        <f t="shared" si="2"/>
        <v>Uruguay_win</v>
      </c>
      <c r="T39" s="106" t="str">
        <f t="shared" si="3"/>
        <v>Russia_lose</v>
      </c>
      <c r="U39" s="102">
        <f t="shared" si="4"/>
        <v>0</v>
      </c>
      <c r="V39" s="101">
        <f t="shared" si="5"/>
        <v>0</v>
      </c>
      <c r="W39" s="101">
        <f t="shared" si="6"/>
        <v>0</v>
      </c>
      <c r="X39" s="101">
        <f t="shared" si="7"/>
        <v>0</v>
      </c>
      <c r="Y39" s="101">
        <f t="shared" si="9"/>
        <v>1</v>
      </c>
      <c r="AA39" s="101">
        <f>COUNTIF(AQ38:AQ41,CONCATENATE("&gt;=",AQ39))</f>
        <v>2</v>
      </c>
      <c r="AB39" s="102" t="str">
        <f>VLOOKUP("Mexico",T,lang,FALSE)</f>
        <v>Mexico</v>
      </c>
      <c r="AC39" s="101">
        <f>COUNTIF($S$7:$T$54,"=" &amp; AB39 &amp; "_win")</f>
        <v>2</v>
      </c>
      <c r="AD39" s="101">
        <f>COUNTIF($S$7:$T$54,"=" &amp; AB39 &amp; "_draw")</f>
        <v>0</v>
      </c>
      <c r="AE39" s="101">
        <f>COUNTIF($S$7:$T$54,"=" &amp; AB39 &amp; "_lose")</f>
        <v>1</v>
      </c>
      <c r="AF39" s="101">
        <f>SUMIF($E$7:$E$54,$AB39,$F$7:$F$54) + SUMIF($H$7:$H$54,$AB39,$G$7:$G$54)</f>
        <v>3</v>
      </c>
      <c r="AG39" s="101">
        <f>SUMIF($E$7:$E$54,$AB39,$G$7:$G$54) + SUMIF($H$7:$H$54,$AB39,$F$7:$F$54)</f>
        <v>4</v>
      </c>
      <c r="AH39" s="101">
        <f>(AF39-AG39)*100+AK39*10000+AF39</f>
        <v>59903</v>
      </c>
      <c r="AI39" s="101">
        <f>AF39-AG39</f>
        <v>-1</v>
      </c>
      <c r="AJ39" s="101">
        <f>(AI39-AI43)/AI42</f>
        <v>0.16666666666666666</v>
      </c>
      <c r="AK39" s="101">
        <f>AC39*3+AD39</f>
        <v>6</v>
      </c>
      <c r="AL39" s="101">
        <f>AS39/AS42*1000+AT39/AT42*100+AW39/AW42*10+AU39/AU42</f>
        <v>0</v>
      </c>
      <c r="AM39" s="101">
        <f>VLOOKUP(AB39,fair_play,2,FALSE)</f>
        <v>-8</v>
      </c>
      <c r="AN39" s="101">
        <f t="shared" ref="AN39:AN41" si="25">COUNTIF($AM$38:$AM$41,CONCATENATE("&lt;=",AM39))</f>
        <v>1</v>
      </c>
      <c r="AO39" s="101">
        <f>VLOOKUP(AB39,fair_play,3,FALSE)</f>
        <v>16</v>
      </c>
      <c r="AP39" s="101">
        <f t="shared" ref="AP39:AP41" si="26">COUNTIF($AO$38:$AO$41,CONCATENATE("&gt;=",AO39))</f>
        <v>2</v>
      </c>
      <c r="AQ39" s="102">
        <f>1000*AK39/AK42+100*AJ39+10*AF39/AF42+1*AL39/AL42+0.00001*AN39+0.000001*AP39</f>
        <v>1524.1666786666667</v>
      </c>
      <c r="AR39" s="103" t="str">
        <f>IF(SUM(AC38:AE41)=12,J40,INDEX(T,81,lang))</f>
        <v>Mexico</v>
      </c>
      <c r="AS39" s="104">
        <f>SUMPRODUCT(($S$7:$S$54=AB39&amp;"_win")*($U$7:$U$54))+SUMPRODUCT(($T$7:$T$54=AB39&amp;"_win")*($U$7:$U$54))</f>
        <v>0</v>
      </c>
      <c r="AT39" s="105">
        <f>SUMPRODUCT(($S$7:$S$54=AB39&amp;"_draw")*($U$7:$U$54))+SUMPRODUCT(($T$7:$T$54=AB39&amp;"_draw")*($U$7:$U$54))</f>
        <v>0</v>
      </c>
      <c r="AU39" s="105">
        <f>SUMPRODUCT(($E$7:$E$54=AB39)*($U$7:$U$54)*($F$7:$F$54))+SUMPRODUCT(($H$7:$H$54=AB39)*($U$7:$U$54)*($G$7:$G$54))</f>
        <v>0</v>
      </c>
      <c r="AV39" s="105">
        <f>SUMPRODUCT(($E$7:$E$54=AB39)*($U$7:$U$54)*($G$7:$G$54))+SUMPRODUCT(($H$7:$H$54=AB39)*($U$7:$U$54)*($F$7:$F$54))</f>
        <v>0</v>
      </c>
      <c r="AW39" s="105">
        <f>AU39-AV39</f>
        <v>0</v>
      </c>
      <c r="BB39" s="136"/>
      <c r="BC39" s="32" t="str">
        <f>AR45</f>
        <v>England</v>
      </c>
      <c r="BD39" s="89">
        <v>1</v>
      </c>
      <c r="BE39" s="91">
        <v>1</v>
      </c>
      <c r="BF39" s="33">
        <v>4</v>
      </c>
      <c r="BG39" s="27"/>
      <c r="BH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</row>
    <row r="40" spans="1:79" ht="15" customHeight="1" thickBot="1" x14ac:dyDescent="0.3">
      <c r="A40" s="23">
        <v>34</v>
      </c>
      <c r="B40" s="24" t="str">
        <f t="shared" si="0"/>
        <v>Mon</v>
      </c>
      <c r="C40" s="25" t="str">
        <f t="shared" si="1"/>
        <v>Jun 25, 2018</v>
      </c>
      <c r="D40" s="26">
        <f t="shared" si="8"/>
        <v>0.58333333333333337</v>
      </c>
      <c r="E40" s="96" t="str">
        <f>AB9</f>
        <v>Saudi Arabia</v>
      </c>
      <c r="F40" s="111">
        <v>2</v>
      </c>
      <c r="G40" s="112">
        <v>1</v>
      </c>
      <c r="H40" s="93" t="str">
        <f>AB10</f>
        <v>Egypt</v>
      </c>
      <c r="J40" s="61" t="str">
        <f>VLOOKUP(2,AA38:AK41,2,FALSE)</f>
        <v>Mexico</v>
      </c>
      <c r="K40" s="29">
        <f>L40+M40+N40</f>
        <v>3</v>
      </c>
      <c r="L40" s="29">
        <f>VLOOKUP(2,AA38:AK41,3,FALSE)</f>
        <v>2</v>
      </c>
      <c r="M40" s="29">
        <f>VLOOKUP(2,AA38:AK41,4,FALSE)</f>
        <v>0</v>
      </c>
      <c r="N40" s="29">
        <f>VLOOKUP(2,AA38:AK41,5,FALSE)</f>
        <v>1</v>
      </c>
      <c r="O40" s="29" t="str">
        <f>VLOOKUP(2,AA38:AK41,6,FALSE) &amp; " - " &amp; VLOOKUP(2,AA38:AK41,7,FALSE)</f>
        <v>3 - 4</v>
      </c>
      <c r="P40" s="62">
        <f>L40*3+M40</f>
        <v>6</v>
      </c>
      <c r="R40" s="101">
        <f>DATE(2018,6,25)+TIME(3,0,0)+gmt_delta</f>
        <v>43276.583333333336</v>
      </c>
      <c r="S40" s="106" t="str">
        <f t="shared" si="2"/>
        <v>Saudi Arabia_win</v>
      </c>
      <c r="T40" s="106" t="str">
        <f t="shared" si="3"/>
        <v>Egypt_lose</v>
      </c>
      <c r="U40" s="102">
        <f t="shared" si="4"/>
        <v>0</v>
      </c>
      <c r="V40" s="101">
        <f t="shared" si="5"/>
        <v>0</v>
      </c>
      <c r="W40" s="101">
        <f t="shared" si="6"/>
        <v>0</v>
      </c>
      <c r="X40" s="101">
        <f t="shared" si="7"/>
        <v>0</v>
      </c>
      <c r="Y40" s="101">
        <f t="shared" si="9"/>
        <v>1</v>
      </c>
      <c r="AA40" s="101">
        <f>COUNTIF(AQ38:AQ41,CONCATENATE("&gt;=",AQ40))</f>
        <v>1</v>
      </c>
      <c r="AB40" s="102" t="str">
        <f>VLOOKUP("Sweden",T,lang,FALSE)</f>
        <v>Sweden</v>
      </c>
      <c r="AC40" s="101">
        <f>COUNTIF($S$7:$T$54,"=" &amp; AB40 &amp; "_win")</f>
        <v>2</v>
      </c>
      <c r="AD40" s="101">
        <f>COUNTIF($S$7:$T$54,"=" &amp; AB40 &amp; "_draw")</f>
        <v>0</v>
      </c>
      <c r="AE40" s="101">
        <f>COUNTIF($S$7:$T$54,"=" &amp; AB40 &amp; "_lose")</f>
        <v>1</v>
      </c>
      <c r="AF40" s="101">
        <f>SUMIF($E$7:$E$54,$AB40,$F$7:$F$54) + SUMIF($H$7:$H$54,$AB40,$G$7:$G$54)</f>
        <v>5</v>
      </c>
      <c r="AG40" s="101">
        <f>SUMIF($E$7:$E$54,$AB40,$G$7:$G$54) + SUMIF($H$7:$H$54,$AB40,$F$7:$F$54)</f>
        <v>2</v>
      </c>
      <c r="AH40" s="101">
        <f>(AF40-AG40)*100+AK40*10000+AF40</f>
        <v>60305</v>
      </c>
      <c r="AI40" s="101">
        <f>AF40-AG40</f>
        <v>3</v>
      </c>
      <c r="AJ40" s="101">
        <f>(AI40-AI43)/AI42</f>
        <v>0.83333333333333337</v>
      </c>
      <c r="AK40" s="101">
        <f>AC40*3+AD40</f>
        <v>6</v>
      </c>
      <c r="AL40" s="101">
        <f>AS40/AS42*1000+AT40/AT42*100+AW40/AW42*10+AU40/AU42</f>
        <v>0</v>
      </c>
      <c r="AM40" s="101">
        <f>VLOOKUP(AB40,fair_play,2,FALSE)</f>
        <v>-5</v>
      </c>
      <c r="AN40" s="101">
        <f t="shared" si="25"/>
        <v>4</v>
      </c>
      <c r="AO40" s="101">
        <f>VLOOKUP(AB40,fair_play,3,FALSE)</f>
        <v>28</v>
      </c>
      <c r="AP40" s="101">
        <f t="shared" si="26"/>
        <v>1</v>
      </c>
      <c r="AQ40" s="102">
        <f>1000*AK40/AK42+100*AJ40+10*AF40/AF42+1*AL40/AL42+0.00001*AN40+0.000001*AP40</f>
        <v>1595.8333743333333</v>
      </c>
      <c r="AS40" s="104">
        <f>SUMPRODUCT(($S$7:$S$54=AB40&amp;"_win")*($U$7:$U$54))+SUMPRODUCT(($T$7:$T$54=AB40&amp;"_win")*($U$7:$U$54))</f>
        <v>0</v>
      </c>
      <c r="AT40" s="105">
        <f>SUMPRODUCT(($S$7:$S$54=AB40&amp;"_draw")*($U$7:$U$54))+SUMPRODUCT(($T$7:$T$54=AB40&amp;"_draw")*($U$7:$U$54))</f>
        <v>0</v>
      </c>
      <c r="AU40" s="105">
        <f>SUMPRODUCT(($E$7:$E$54=AB40)*($U$7:$U$54)*($F$7:$F$54))+SUMPRODUCT(($H$7:$H$54=AB40)*($U$7:$U$54)*($G$7:$G$54))</f>
        <v>0</v>
      </c>
      <c r="AV40" s="105">
        <f>SUMPRODUCT(($E$7:$E$54=AB40)*($U$7:$U$54)*($G$7:$G$54))+SUMPRODUCT(($H$7:$H$54=AB40)*($U$7:$U$54)*($F$7:$F$54))</f>
        <v>0</v>
      </c>
      <c r="AW40" s="105">
        <f>AU40-AV40</f>
        <v>0</v>
      </c>
    </row>
    <row r="41" spans="1:79" ht="15" customHeight="1" x14ac:dyDescent="0.25">
      <c r="A41" s="23">
        <v>35</v>
      </c>
      <c r="B41" s="24" t="str">
        <f t="shared" si="0"/>
        <v>Mon</v>
      </c>
      <c r="C41" s="25" t="str">
        <f t="shared" si="1"/>
        <v>Jun 25, 2018</v>
      </c>
      <c r="D41" s="26">
        <f t="shared" si="8"/>
        <v>0.75</v>
      </c>
      <c r="E41" s="96" t="str">
        <f>AB17</f>
        <v>Iran</v>
      </c>
      <c r="F41" s="111">
        <v>1</v>
      </c>
      <c r="G41" s="112">
        <v>1</v>
      </c>
      <c r="H41" s="93" t="str">
        <f>AB14</f>
        <v>Portugal</v>
      </c>
      <c r="J41" s="61" t="str">
        <f>VLOOKUP(3,AA38:AK41,2,FALSE)</f>
        <v>Korea Republic</v>
      </c>
      <c r="K41" s="29">
        <f>L41+M41+N41</f>
        <v>3</v>
      </c>
      <c r="L41" s="29">
        <f>VLOOKUP(3,AA38:AK41,3,FALSE)</f>
        <v>1</v>
      </c>
      <c r="M41" s="29">
        <f>VLOOKUP(3,AA38:AK41,4,FALSE)</f>
        <v>0</v>
      </c>
      <c r="N41" s="29">
        <f>VLOOKUP(3,AA38:AK41,5,FALSE)</f>
        <v>2</v>
      </c>
      <c r="O41" s="29" t="str">
        <f>VLOOKUP(3,AA38:AK41,6,FALSE) &amp; " - " &amp; VLOOKUP(3,AA38:AK41,7,FALSE)</f>
        <v>3 - 3</v>
      </c>
      <c r="P41" s="62">
        <f>L41*3+M41</f>
        <v>3</v>
      </c>
      <c r="R41" s="101">
        <f>DATE(2018,6,25)+TIME(7,0,0)+gmt_delta</f>
        <v>43276.75</v>
      </c>
      <c r="S41" s="106" t="str">
        <f t="shared" si="2"/>
        <v>Iran_draw</v>
      </c>
      <c r="T41" s="106" t="str">
        <f t="shared" si="3"/>
        <v>Portugal_draw</v>
      </c>
      <c r="U41" s="102">
        <f t="shared" si="4"/>
        <v>0</v>
      </c>
      <c r="V41" s="101">
        <f t="shared" si="5"/>
        <v>0</v>
      </c>
      <c r="W41" s="101">
        <f t="shared" si="6"/>
        <v>0</v>
      </c>
      <c r="X41" s="101">
        <f t="shared" si="7"/>
        <v>0</v>
      </c>
      <c r="Y41" s="101">
        <f t="shared" si="9"/>
        <v>0</v>
      </c>
      <c r="AA41" s="101">
        <f>COUNTIF(AQ38:AQ41,CONCATENATE("&gt;=",AQ41))</f>
        <v>3</v>
      </c>
      <c r="AB41" s="102" t="str">
        <f>VLOOKUP("Korea Republic",T,lang,FALSE)</f>
        <v>Korea Republic</v>
      </c>
      <c r="AC41" s="101">
        <f>COUNTIF($S$7:$T$54,"=" &amp; AB41 &amp; "_win")</f>
        <v>1</v>
      </c>
      <c r="AD41" s="101">
        <f>COUNTIF($S$7:$T$54,"=" &amp; AB41 &amp; "_draw")</f>
        <v>0</v>
      </c>
      <c r="AE41" s="101">
        <f>COUNTIF($S$7:$T$54,"=" &amp; AB41 &amp; "_lose")</f>
        <v>2</v>
      </c>
      <c r="AF41" s="101">
        <f>SUMIF($E$7:$E$54,$AB41,$F$7:$F$54) + SUMIF($H$7:$H$54,$AB41,$G$7:$G$54)</f>
        <v>3</v>
      </c>
      <c r="AG41" s="101">
        <f>SUMIF($E$7:$E$54,$AB41,$G$7:$G$54) + SUMIF($H$7:$H$54,$AB41,$F$7:$F$54)</f>
        <v>3</v>
      </c>
      <c r="AH41" s="101">
        <f>(AF41-AG41)*100+AK41*10000+AF41</f>
        <v>30003</v>
      </c>
      <c r="AI41" s="101">
        <f>AF41-AG41</f>
        <v>0</v>
      </c>
      <c r="AJ41" s="101">
        <f>(AI41-AI43)/AI42</f>
        <v>0.33333333333333331</v>
      </c>
      <c r="AK41" s="101">
        <f>AC41*3+AD41</f>
        <v>3</v>
      </c>
      <c r="AL41" s="101">
        <f>AS41/AS42*1000+AT41/AT42*100+AW41/AW42*10+AU41/AU42</f>
        <v>0</v>
      </c>
      <c r="AM41" s="101">
        <f>VLOOKUP(AB41,fair_play,2,FALSE)</f>
        <v>-5</v>
      </c>
      <c r="AN41" s="101">
        <f t="shared" si="25"/>
        <v>4</v>
      </c>
      <c r="AO41" s="101">
        <f>VLOOKUP(AB41,fair_play,3,FALSE)</f>
        <v>15</v>
      </c>
      <c r="AP41" s="101">
        <f t="shared" si="26"/>
        <v>3</v>
      </c>
      <c r="AQ41" s="102">
        <f>1000*AK41/AK42+100*AJ41+10*AF41/AF42+1*AL41/AL42+0.00001*AN41+0.000001*AP41</f>
        <v>790.83337633333338</v>
      </c>
      <c r="AS41" s="104">
        <f>SUMPRODUCT(($S$7:$S$54=AB41&amp;"_win")*($U$7:$U$54))+SUMPRODUCT(($T$7:$T$54=AB41&amp;"_win")*($U$7:$U$54))</f>
        <v>0</v>
      </c>
      <c r="AT41" s="105">
        <f>SUMPRODUCT(($S$7:$S$54=AB41&amp;"_draw")*($U$7:$U$54))+SUMPRODUCT(($T$7:$T$54=AB41&amp;"_draw")*($U$7:$U$54))</f>
        <v>0</v>
      </c>
      <c r="AU41" s="105">
        <f>SUMPRODUCT(($E$7:$E$54=AB41)*($U$7:$U$54)*($F$7:$F$54))+SUMPRODUCT(($H$7:$H$54=AB41)*($U$7:$U$54)*($G$7:$G$54))</f>
        <v>0</v>
      </c>
      <c r="AV41" s="105">
        <f>SUMPRODUCT(($E$7:$E$54=AB41)*($U$7:$U$54)*($G$7:$G$54))+SUMPRODUCT(($H$7:$H$54=AB41)*($U$7:$U$54)*($F$7:$F$54))</f>
        <v>0</v>
      </c>
      <c r="AW41" s="105">
        <f>AU41-AV41</f>
        <v>0</v>
      </c>
      <c r="BO41" s="152" t="str">
        <f>INDEX(T,102,lang)</f>
        <v>World Champion 2018</v>
      </c>
      <c r="BP41" s="152"/>
      <c r="BQ41" s="152"/>
      <c r="BR41" s="152"/>
      <c r="BS41" s="152"/>
      <c r="BT41" s="152"/>
      <c r="BU41" s="154" t="str">
        <f>S85</f>
        <v>France</v>
      </c>
      <c r="BV41" s="154"/>
      <c r="BW41" s="154"/>
      <c r="BX41" s="154"/>
      <c r="BY41" s="154"/>
      <c r="BZ41" s="154"/>
      <c r="CA41" s="154"/>
    </row>
    <row r="42" spans="1:79" ht="15" customHeight="1" x14ac:dyDescent="0.25">
      <c r="A42" s="23">
        <v>36</v>
      </c>
      <c r="B42" s="24" t="str">
        <f t="shared" si="0"/>
        <v>Mon</v>
      </c>
      <c r="C42" s="25" t="str">
        <f t="shared" si="1"/>
        <v>Jun 25, 2018</v>
      </c>
      <c r="D42" s="26">
        <f t="shared" si="8"/>
        <v>0.75</v>
      </c>
      <c r="E42" s="96" t="str">
        <f>AB15</f>
        <v>Spain</v>
      </c>
      <c r="F42" s="111">
        <v>2</v>
      </c>
      <c r="G42" s="112">
        <v>2</v>
      </c>
      <c r="H42" s="93" t="str">
        <f>AB16</f>
        <v>Morocco</v>
      </c>
      <c r="J42" s="63" t="str">
        <f>VLOOKUP(4,AA38:AK41,2,FALSE)</f>
        <v>Germany</v>
      </c>
      <c r="K42" s="64">
        <f>L42+M42+N42</f>
        <v>3</v>
      </c>
      <c r="L42" s="64">
        <f>VLOOKUP(4,AA38:AK41,3,FALSE)</f>
        <v>1</v>
      </c>
      <c r="M42" s="64">
        <f>VLOOKUP(4,AA38:AK41,4,FALSE)</f>
        <v>0</v>
      </c>
      <c r="N42" s="64">
        <f>VLOOKUP(4,AA38:AK41,5,FALSE)</f>
        <v>2</v>
      </c>
      <c r="O42" s="64" t="str">
        <f>VLOOKUP(4,AA38:AK41,6,FALSE) &amp; " - " &amp; VLOOKUP(4,AA38:AK41,7,FALSE)</f>
        <v>2 - 4</v>
      </c>
      <c r="P42" s="65">
        <f>L42*3+M42</f>
        <v>3</v>
      </c>
      <c r="R42" s="101">
        <f>DATE(2018,6,25)+TIME(7,0,0)+gmt_delta</f>
        <v>43276.75</v>
      </c>
      <c r="S42" s="106" t="str">
        <f t="shared" si="2"/>
        <v>Spain_draw</v>
      </c>
      <c r="T42" s="106" t="str">
        <f t="shared" si="3"/>
        <v>Morocco_draw</v>
      </c>
      <c r="U42" s="102">
        <f t="shared" si="4"/>
        <v>0</v>
      </c>
      <c r="V42" s="101">
        <f t="shared" si="5"/>
        <v>0</v>
      </c>
      <c r="W42" s="101">
        <f t="shared" si="6"/>
        <v>0</v>
      </c>
      <c r="X42" s="101">
        <f t="shared" si="7"/>
        <v>0</v>
      </c>
      <c r="Y42" s="101">
        <f t="shared" si="9"/>
        <v>0</v>
      </c>
      <c r="AC42" s="101">
        <f t="shared" ref="AC42:AL42" si="27">MAX(AC38:AC41)-MIN(AC38:AC41)+1</f>
        <v>2</v>
      </c>
      <c r="AD42" s="101">
        <f t="shared" si="27"/>
        <v>1</v>
      </c>
      <c r="AE42" s="101">
        <f t="shared" si="27"/>
        <v>2</v>
      </c>
      <c r="AF42" s="101">
        <f t="shared" si="27"/>
        <v>4</v>
      </c>
      <c r="AG42" s="101">
        <f t="shared" si="27"/>
        <v>3</v>
      </c>
      <c r="AH42" s="101">
        <f>MAX(AH38:AH41)-AH43+1</f>
        <v>30504</v>
      </c>
      <c r="AI42" s="101">
        <f>MAX(AI38:AI41)-AI43+1</f>
        <v>6</v>
      </c>
      <c r="AK42" s="101">
        <f t="shared" si="27"/>
        <v>4</v>
      </c>
      <c r="AL42" s="101">
        <f t="shared" si="27"/>
        <v>1</v>
      </c>
      <c r="AM42" s="101"/>
      <c r="AN42" s="101"/>
      <c r="AO42" s="101"/>
      <c r="AP42" s="101"/>
      <c r="AS42" s="101">
        <f>MAX(AS38:AS41)-MIN(AS38:AS41)+1</f>
        <v>1</v>
      </c>
      <c r="AT42" s="101">
        <f>MAX(AT38:AT41)-MIN(AT38:AT41)+1</f>
        <v>1</v>
      </c>
      <c r="AU42" s="101">
        <f>MAX(AU38:AU41)-MIN(AU38:AU41)+1</f>
        <v>1</v>
      </c>
      <c r="AV42" s="101">
        <f>MAX(AV38:AV41)-MIN(AV38:AV41)+1</f>
        <v>1</v>
      </c>
      <c r="AW42" s="101">
        <f>MAX(AW38:AW41)-MIN(AW38:AW41)+1</f>
        <v>1</v>
      </c>
      <c r="BO42" s="153"/>
      <c r="BP42" s="153"/>
      <c r="BQ42" s="153"/>
      <c r="BR42" s="153"/>
      <c r="BS42" s="153"/>
      <c r="BT42" s="153"/>
      <c r="BU42" s="155"/>
      <c r="BV42" s="155"/>
      <c r="BW42" s="155"/>
      <c r="BX42" s="155"/>
      <c r="BY42" s="155"/>
      <c r="BZ42" s="155"/>
      <c r="CA42" s="155"/>
    </row>
    <row r="43" spans="1:79" ht="15" customHeight="1" x14ac:dyDescent="0.25">
      <c r="A43" s="23">
        <v>37</v>
      </c>
      <c r="B43" s="24" t="str">
        <f t="shared" si="0"/>
        <v>Tue</v>
      </c>
      <c r="C43" s="25" t="str">
        <f t="shared" si="1"/>
        <v>Jun 26, 2018</v>
      </c>
      <c r="D43" s="26">
        <f t="shared" si="8"/>
        <v>0.58333333333333337</v>
      </c>
      <c r="E43" s="96" t="str">
        <f>AB23</f>
        <v>Denmark</v>
      </c>
      <c r="F43" s="111">
        <v>0</v>
      </c>
      <c r="G43" s="112">
        <v>0</v>
      </c>
      <c r="H43" s="93" t="str">
        <f>AB20</f>
        <v>France</v>
      </c>
      <c r="R43" s="101">
        <f>DATE(2018,6,26)+TIME(3,0,0)+gmt_delta</f>
        <v>43277.583333333336</v>
      </c>
      <c r="S43" s="106" t="str">
        <f t="shared" si="2"/>
        <v>Denmark_draw</v>
      </c>
      <c r="T43" s="106" t="str">
        <f t="shared" si="3"/>
        <v>France_draw</v>
      </c>
      <c r="U43" s="102">
        <f t="shared" si="4"/>
        <v>0</v>
      </c>
      <c r="V43" s="101">
        <f t="shared" si="5"/>
        <v>0</v>
      </c>
      <c r="W43" s="101">
        <f t="shared" si="6"/>
        <v>0</v>
      </c>
      <c r="X43" s="101">
        <f t="shared" si="7"/>
        <v>0</v>
      </c>
      <c r="Y43" s="101">
        <f t="shared" si="9"/>
        <v>0</v>
      </c>
      <c r="AH43" s="101">
        <f>MIN(AH38:AH41)</f>
        <v>29802</v>
      </c>
      <c r="AI43" s="101">
        <f>MIN(AI38:AI41)</f>
        <v>-2</v>
      </c>
      <c r="AO43" s="101"/>
      <c r="AP43" s="101"/>
      <c r="BB43" s="69"/>
    </row>
    <row r="44" spans="1:79" ht="15" customHeight="1" x14ac:dyDescent="0.25">
      <c r="A44" s="23">
        <v>38</v>
      </c>
      <c r="B44" s="24" t="str">
        <f t="shared" si="0"/>
        <v>Tue</v>
      </c>
      <c r="C44" s="25" t="str">
        <f t="shared" si="1"/>
        <v>Jun 26, 2018</v>
      </c>
      <c r="D44" s="26">
        <f t="shared" si="8"/>
        <v>0.58333333333333337</v>
      </c>
      <c r="E44" s="96" t="str">
        <f>AB21</f>
        <v>Australia</v>
      </c>
      <c r="F44" s="111">
        <v>0</v>
      </c>
      <c r="G44" s="112">
        <v>2</v>
      </c>
      <c r="H44" s="93" t="str">
        <f>AB22</f>
        <v>Peru</v>
      </c>
      <c r="J44" s="66" t="str">
        <f>INDEX(T,9,lang) &amp; " " &amp; "G"</f>
        <v>Group G</v>
      </c>
      <c r="K44" s="67" t="str">
        <f>INDEX(T,10,lang)</f>
        <v>PL</v>
      </c>
      <c r="L44" s="67" t="str">
        <f>INDEX(T,11,lang)</f>
        <v>W</v>
      </c>
      <c r="M44" s="67" t="str">
        <f>INDEX(T,12,lang)</f>
        <v>DRAW</v>
      </c>
      <c r="N44" s="67" t="str">
        <f>INDEX(T,13,lang)</f>
        <v>L</v>
      </c>
      <c r="O44" s="67" t="str">
        <f>INDEX(T,14,lang)</f>
        <v>GF - GA</v>
      </c>
      <c r="P44" s="68" t="str">
        <f>INDEX(T,15,lang)</f>
        <v>PNT</v>
      </c>
      <c r="R44" s="101">
        <f>DATE(2018,6,26)+TIME(3,0,0)+gmt_delta</f>
        <v>43277.583333333336</v>
      </c>
      <c r="S44" s="106" t="str">
        <f t="shared" si="2"/>
        <v>Australia_lose</v>
      </c>
      <c r="T44" s="106" t="str">
        <f t="shared" si="3"/>
        <v>Peru_win</v>
      </c>
      <c r="U44" s="102">
        <f t="shared" si="4"/>
        <v>0</v>
      </c>
      <c r="V44" s="101">
        <f t="shared" si="5"/>
        <v>0</v>
      </c>
      <c r="W44" s="101">
        <f t="shared" si="6"/>
        <v>0</v>
      </c>
      <c r="X44" s="101">
        <f t="shared" si="7"/>
        <v>0</v>
      </c>
      <c r="Y44" s="101">
        <f t="shared" si="9"/>
        <v>-1</v>
      </c>
      <c r="AA44" s="101">
        <f>COUNTIF(AQ44:AQ47,CONCATENATE("&gt;=",AQ44))</f>
        <v>1</v>
      </c>
      <c r="AB44" s="102" t="str">
        <f>VLOOKUP("Belgium",T,lang,FALSE)</f>
        <v>Belgium</v>
      </c>
      <c r="AC44" s="101">
        <f>COUNTIF($S$7:$T$54,"=" &amp; AB44 &amp; "_win")</f>
        <v>3</v>
      </c>
      <c r="AD44" s="101">
        <f>COUNTIF($S$7:$T$54,"=" &amp; AB44 &amp; "_draw")</f>
        <v>0</v>
      </c>
      <c r="AE44" s="101">
        <f>COUNTIF($S$7:$T$54,"=" &amp; AB44 &amp; "_lose")</f>
        <v>0</v>
      </c>
      <c r="AF44" s="101">
        <f>SUMIF($E$7:$E$54,$AB44,$F$7:$F$54) + SUMIF($H$7:$H$54,$AB44,$G$7:$G$54)</f>
        <v>9</v>
      </c>
      <c r="AG44" s="101">
        <f>SUMIF($E$7:$E$54,$AB44,$G$7:$G$54) + SUMIF($H$7:$H$54,$AB44,$F$7:$F$54)</f>
        <v>2</v>
      </c>
      <c r="AH44" s="101">
        <f>(AF44-AG44)*100+AK44*10000+AF44</f>
        <v>90709</v>
      </c>
      <c r="AI44" s="101">
        <f>AF44-AG44</f>
        <v>7</v>
      </c>
      <c r="AJ44" s="101">
        <f>(AI44-AI49)/AI48</f>
        <v>0.94117647058823528</v>
      </c>
      <c r="AK44" s="101">
        <f>AC44*3+AD44</f>
        <v>9</v>
      </c>
      <c r="AL44" s="101">
        <f>AS44/AS48*1000+AT44/AT48*100+AW44/AW48*10+AU44/AU48</f>
        <v>0</v>
      </c>
      <c r="AM44" s="101">
        <f>VLOOKUP(AB44,fair_play,2,FALSE)</f>
        <v>-5</v>
      </c>
      <c r="AN44" s="101">
        <f>COUNTIF($AM$44:$AM$47,CONCATENATE("&lt;=",AM44))</f>
        <v>2</v>
      </c>
      <c r="AO44" s="101">
        <f>VLOOKUP(AB44,fair_play,3,FALSE)</f>
        <v>2</v>
      </c>
      <c r="AP44" s="101">
        <f>COUNTIF($AO$44:$AO$47,CONCATENATE("&gt;=",AO44))</f>
        <v>4</v>
      </c>
      <c r="AQ44" s="102">
        <f>1000*AK44/AK48+100*AJ44+10*AF44/AF48+1*AL44/AL48+0.00001*AN44+0.000001*AP44</f>
        <v>1005.3676710588235</v>
      </c>
      <c r="AR44" s="103" t="str">
        <f>IF(SUM(AC44:AE47)=12,J45,INDEX(T,82,lang))</f>
        <v>Belgium</v>
      </c>
      <c r="AS44" s="104">
        <f>SUMPRODUCT(($S$7:$S$54=AB44&amp;"_win")*($U$7:$U$54))+SUMPRODUCT(($T$7:$T$54=AB44&amp;"_win")*($U$7:$U$54))</f>
        <v>0</v>
      </c>
      <c r="AT44" s="105">
        <f>SUMPRODUCT(($S$7:$S$54=AB44&amp;"_draw")*($U$7:$U$54))+SUMPRODUCT(($T$7:$T$54=AB44&amp;"_draw")*($U$7:$U$54))</f>
        <v>0</v>
      </c>
      <c r="AU44" s="105">
        <f>SUMPRODUCT(($E$7:$E$54=AB44)*($U$7:$U$54)*($F$7:$F$54))+SUMPRODUCT(($H$7:$H$54=AB44)*($U$7:$U$54)*($G$7:$G$54))</f>
        <v>0</v>
      </c>
      <c r="AV44" s="105">
        <f>SUMPRODUCT(($E$7:$E$54=AB44)*($U$7:$U$54)*($G$7:$G$54))+SUMPRODUCT(($H$7:$H$54=AB44)*($U$7:$U$54)*($F$7:$F$54))</f>
        <v>0</v>
      </c>
      <c r="AW44" s="105">
        <f>AU44-AV44</f>
        <v>0</v>
      </c>
    </row>
    <row r="45" spans="1:79" ht="15" customHeight="1" x14ac:dyDescent="0.25">
      <c r="A45" s="23">
        <v>39</v>
      </c>
      <c r="B45" s="24" t="str">
        <f t="shared" si="0"/>
        <v>Tue</v>
      </c>
      <c r="C45" s="25" t="str">
        <f t="shared" si="1"/>
        <v>Jun 26, 2018</v>
      </c>
      <c r="D45" s="26">
        <f t="shared" si="8"/>
        <v>0.75</v>
      </c>
      <c r="E45" s="96" t="str">
        <f>AB29</f>
        <v>Nigeria</v>
      </c>
      <c r="F45" s="111">
        <v>1</v>
      </c>
      <c r="G45" s="112">
        <v>2</v>
      </c>
      <c r="H45" s="93" t="str">
        <f>AB26</f>
        <v>Argentina</v>
      </c>
      <c r="J45" s="58" t="str">
        <f>VLOOKUP(1,AA44:AK47,2,FALSE)</f>
        <v>Belgium</v>
      </c>
      <c r="K45" s="59">
        <f>L45+M45+N45</f>
        <v>3</v>
      </c>
      <c r="L45" s="59">
        <f>VLOOKUP(1,AA44:AK47,3,FALSE)</f>
        <v>3</v>
      </c>
      <c r="M45" s="59">
        <f>VLOOKUP(1,AA44:AK47,4,FALSE)</f>
        <v>0</v>
      </c>
      <c r="N45" s="59">
        <f>VLOOKUP(1,AA44:AK47,5,FALSE)</f>
        <v>0</v>
      </c>
      <c r="O45" s="59" t="str">
        <f>VLOOKUP(1,AA44:AK47,6,FALSE) &amp; " - " &amp; VLOOKUP(1,AA44:AK47,7,FALSE)</f>
        <v>9 - 2</v>
      </c>
      <c r="P45" s="60">
        <f>L45*3+M45</f>
        <v>9</v>
      </c>
      <c r="R45" s="101">
        <f>DATE(2018,6,26)+TIME(7,0,0)+gmt_delta</f>
        <v>43277.75</v>
      </c>
      <c r="S45" s="106" t="str">
        <f t="shared" si="2"/>
        <v>Nigeria_lose</v>
      </c>
      <c r="T45" s="106" t="str">
        <f t="shared" si="3"/>
        <v>Argentina_win</v>
      </c>
      <c r="U45" s="102">
        <f t="shared" si="4"/>
        <v>0</v>
      </c>
      <c r="V45" s="101">
        <f t="shared" si="5"/>
        <v>0</v>
      </c>
      <c r="W45" s="101">
        <f t="shared" si="6"/>
        <v>0</v>
      </c>
      <c r="X45" s="101">
        <f t="shared" si="7"/>
        <v>1</v>
      </c>
      <c r="Y45" s="101">
        <f t="shared" si="9"/>
        <v>-1</v>
      </c>
      <c r="AA45" s="101">
        <f>COUNTIF(AQ44:AQ47,CONCATENATE("&gt;=",AQ45))</f>
        <v>4</v>
      </c>
      <c r="AB45" s="102" t="str">
        <f>VLOOKUP("Panama",T,lang,FALSE)</f>
        <v>Panama</v>
      </c>
      <c r="AC45" s="101">
        <f>COUNTIF($S$7:$T$54,"=" &amp; AB45 &amp; "_win")</f>
        <v>0</v>
      </c>
      <c r="AD45" s="101">
        <f>COUNTIF($S$7:$T$54,"=" &amp; AB45 &amp; "_draw")</f>
        <v>0</v>
      </c>
      <c r="AE45" s="101">
        <f>COUNTIF($S$7:$T$54,"=" &amp; AB45 &amp; "_lose")</f>
        <v>3</v>
      </c>
      <c r="AF45" s="101">
        <f>SUMIF($E$7:$E$54,$AB45,$F$7:$F$54) + SUMIF($H$7:$H$54,$AB45,$G$7:$G$54)</f>
        <v>2</v>
      </c>
      <c r="AG45" s="101">
        <f>SUMIF($E$7:$E$54,$AB45,$G$7:$G$54) + SUMIF($H$7:$H$54,$AB45,$F$7:$F$54)</f>
        <v>11</v>
      </c>
      <c r="AH45" s="101">
        <f>(AF45-AG45)*100+AK45*10000+AF45</f>
        <v>-898</v>
      </c>
      <c r="AI45" s="101">
        <f>AF45-AG45</f>
        <v>-9</v>
      </c>
      <c r="AJ45" s="101">
        <f>(AI45-AI49)/AI48</f>
        <v>0</v>
      </c>
      <c r="AK45" s="101">
        <f>AC45*3+AD45</f>
        <v>0</v>
      </c>
      <c r="AL45" s="101">
        <f>AS45/AS48*1000+AT45/AT48*100+AW45/AW48*10+AU45/AU48</f>
        <v>0</v>
      </c>
      <c r="AM45" s="101">
        <f>VLOOKUP(AB45,fair_play,2,FALSE)</f>
        <v>-5</v>
      </c>
      <c r="AN45" s="101">
        <f t="shared" ref="AN45:AN47" si="28">COUNTIF($AM$44:$AM$47,CONCATENATE("&lt;=",AM45))</f>
        <v>2</v>
      </c>
      <c r="AO45" s="101">
        <f>VLOOKUP(AB45,fair_play,3,FALSE)</f>
        <v>19</v>
      </c>
      <c r="AP45" s="101">
        <f t="shared" ref="AP45:AP47" si="29">COUNTIF($AO$44:$AO$47,CONCATENATE("&gt;=",AO45))</f>
        <v>2</v>
      </c>
      <c r="AQ45" s="102">
        <f>1000*AK45/AK48+100*AJ45+10*AF45/AF48+1*AL45/AL48+0.00001*AN45+0.000001*AP45</f>
        <v>2.500022</v>
      </c>
      <c r="AR45" s="103" t="str">
        <f>IF(SUM(AC44:AE47)=12,J46,INDEX(T,83,lang))</f>
        <v>England</v>
      </c>
      <c r="AS45" s="104">
        <f>SUMPRODUCT(($S$7:$S$54=AB45&amp;"_win")*($U$7:$U$54))+SUMPRODUCT(($T$7:$T$54=AB45&amp;"_win")*($U$7:$U$54))</f>
        <v>0</v>
      </c>
      <c r="AT45" s="105">
        <f>SUMPRODUCT(($S$7:$S$54=AB45&amp;"_draw")*($U$7:$U$54))+SUMPRODUCT(($T$7:$T$54=AB45&amp;"_draw")*($U$7:$U$54))</f>
        <v>0</v>
      </c>
      <c r="AU45" s="105">
        <f>SUMPRODUCT(($E$7:$E$54=AB45)*($U$7:$U$54)*($F$7:$F$54))+SUMPRODUCT(($H$7:$H$54=AB45)*($U$7:$U$54)*($G$7:$G$54))</f>
        <v>0</v>
      </c>
      <c r="AV45" s="105">
        <f>SUMPRODUCT(($E$7:$E$54=AB45)*($U$7:$U$54)*($G$7:$G$54))+SUMPRODUCT(($H$7:$H$54=AB45)*($U$7:$U$54)*($F$7:$F$54))</f>
        <v>0</v>
      </c>
      <c r="AW45" s="105">
        <f>AU45-AV45</f>
        <v>0</v>
      </c>
    </row>
    <row r="46" spans="1:79" ht="15" customHeight="1" x14ac:dyDescent="0.25">
      <c r="A46" s="23">
        <v>40</v>
      </c>
      <c r="B46" s="24" t="str">
        <f t="shared" si="0"/>
        <v>Tue</v>
      </c>
      <c r="C46" s="25" t="str">
        <f t="shared" si="1"/>
        <v>Jun 26, 2018</v>
      </c>
      <c r="D46" s="26">
        <f t="shared" si="8"/>
        <v>0.75</v>
      </c>
      <c r="E46" s="96" t="str">
        <f>AB27</f>
        <v>Iceland</v>
      </c>
      <c r="F46" s="111">
        <v>1</v>
      </c>
      <c r="G46" s="112">
        <v>2</v>
      </c>
      <c r="H46" s="93" t="str">
        <f>AB28</f>
        <v>Croatia</v>
      </c>
      <c r="J46" s="61" t="str">
        <f>VLOOKUP(2,AA44:AK47,2,FALSE)</f>
        <v>England</v>
      </c>
      <c r="K46" s="29">
        <f>L46+M46+N46</f>
        <v>3</v>
      </c>
      <c r="L46" s="29">
        <f>VLOOKUP(2,AA44:AK47,3,FALSE)</f>
        <v>2</v>
      </c>
      <c r="M46" s="29">
        <f>VLOOKUP(2,AA44:AK47,4,FALSE)</f>
        <v>0</v>
      </c>
      <c r="N46" s="29">
        <f>VLOOKUP(2,AA44:AK47,5,FALSE)</f>
        <v>1</v>
      </c>
      <c r="O46" s="29" t="str">
        <f>VLOOKUP(2,AA44:AK47,6,FALSE) &amp; " - " &amp; VLOOKUP(2,AA44:AK47,7,FALSE)</f>
        <v>8 - 3</v>
      </c>
      <c r="P46" s="62">
        <f>L46*3+M46</f>
        <v>6</v>
      </c>
      <c r="R46" s="101">
        <f>DATE(2018,6,26)+TIME(7,0,0)+gmt_delta</f>
        <v>43277.75</v>
      </c>
      <c r="S46" s="106" t="str">
        <f t="shared" si="2"/>
        <v>Iceland_lose</v>
      </c>
      <c r="T46" s="106" t="str">
        <f t="shared" si="3"/>
        <v>Croatia_win</v>
      </c>
      <c r="U46" s="102">
        <f t="shared" si="4"/>
        <v>0</v>
      </c>
      <c r="V46" s="101">
        <f t="shared" si="5"/>
        <v>0</v>
      </c>
      <c r="W46" s="101">
        <f t="shared" si="6"/>
        <v>0</v>
      </c>
      <c r="X46" s="101">
        <f t="shared" si="7"/>
        <v>0</v>
      </c>
      <c r="Y46" s="101">
        <f t="shared" si="9"/>
        <v>-1</v>
      </c>
      <c r="AA46" s="101">
        <f>COUNTIF(AQ44:AQ47,CONCATENATE("&gt;=",AQ46))</f>
        <v>3</v>
      </c>
      <c r="AB46" s="102" t="str">
        <f>VLOOKUP("Tunisia",T,lang,FALSE)</f>
        <v>Tunisia</v>
      </c>
      <c r="AC46" s="101">
        <f>COUNTIF($S$7:$T$54,"=" &amp; AB46 &amp; "_win")</f>
        <v>1</v>
      </c>
      <c r="AD46" s="101">
        <f>COUNTIF($S$7:$T$54,"=" &amp; AB46 &amp; "_draw")</f>
        <v>0</v>
      </c>
      <c r="AE46" s="101">
        <f>COUNTIF($S$7:$T$54,"=" &amp; AB46 &amp; "_lose")</f>
        <v>2</v>
      </c>
      <c r="AF46" s="101">
        <f>SUMIF($E$7:$E$54,$AB46,$F$7:$F$54) + SUMIF($H$7:$H$54,$AB46,$G$7:$G$54)</f>
        <v>5</v>
      </c>
      <c r="AG46" s="101">
        <f>SUMIF($E$7:$E$54,$AB46,$G$7:$G$54) + SUMIF($H$7:$H$54,$AB46,$F$7:$F$54)</f>
        <v>8</v>
      </c>
      <c r="AH46" s="101">
        <f>(AF46-AG46)*100+AK46*10000+AF46</f>
        <v>29705</v>
      </c>
      <c r="AI46" s="101">
        <f>AF46-AG46</f>
        <v>-3</v>
      </c>
      <c r="AJ46" s="101">
        <f>(AI46-AI49)/AI48</f>
        <v>0.35294117647058826</v>
      </c>
      <c r="AK46" s="101">
        <f>AC46*3+AD46</f>
        <v>3</v>
      </c>
      <c r="AL46" s="101">
        <f>AS46/AS48*1000+AT46/AT48*100+AW46/AW48*10+AU46/AU48</f>
        <v>0</v>
      </c>
      <c r="AM46" s="101">
        <f>VLOOKUP(AB46,fair_play,2,FALSE)</f>
        <v>-4</v>
      </c>
      <c r="AN46" s="101">
        <f t="shared" si="28"/>
        <v>3</v>
      </c>
      <c r="AO46" s="101">
        <f>VLOOKUP(AB46,fair_play,3,FALSE)</f>
        <v>30</v>
      </c>
      <c r="AP46" s="101">
        <f t="shared" si="29"/>
        <v>1</v>
      </c>
      <c r="AQ46" s="102">
        <f>1000*AK46/AK48+100*AJ46+10*AF46/AF48+1*AL46/AL48+0.00001*AN46+0.000001*AP46</f>
        <v>341.54414864705882</v>
      </c>
      <c r="AS46" s="104">
        <f>SUMPRODUCT(($S$7:$S$54=AB46&amp;"_win")*($U$7:$U$54))+SUMPRODUCT(($T$7:$T$54=AB46&amp;"_win")*($U$7:$U$54))</f>
        <v>0</v>
      </c>
      <c r="AT46" s="105">
        <f>SUMPRODUCT(($S$7:$S$54=AB46&amp;"_draw")*($U$7:$U$54))+SUMPRODUCT(($T$7:$T$54=AB46&amp;"_draw")*($U$7:$U$54))</f>
        <v>0</v>
      </c>
      <c r="AU46" s="105">
        <f>SUMPRODUCT(($E$7:$E$54=AB46)*($U$7:$U$54)*($F$7:$F$54))+SUMPRODUCT(($H$7:$H$54=AB46)*($U$7:$U$54)*($G$7:$G$54))</f>
        <v>0</v>
      </c>
      <c r="AV46" s="105">
        <f>SUMPRODUCT(($E$7:$E$54=AB46)*($U$7:$U$54)*($G$7:$G$54))+SUMPRODUCT(($H$7:$H$54=AB46)*($U$7:$U$54)*($F$7:$F$54))</f>
        <v>0</v>
      </c>
      <c r="AW46" s="105">
        <f>AU46-AV46</f>
        <v>0</v>
      </c>
      <c r="BB46" s="143" t="s">
        <v>2219</v>
      </c>
      <c r="BC46" s="144"/>
      <c r="BD46" s="144"/>
      <c r="BE46" s="144"/>
      <c r="BF46" s="145"/>
    </row>
    <row r="47" spans="1:79" ht="15" customHeight="1" x14ac:dyDescent="0.25">
      <c r="A47" s="23">
        <v>41</v>
      </c>
      <c r="B47" s="24" t="str">
        <f t="shared" si="0"/>
        <v>Wed</v>
      </c>
      <c r="C47" s="25" t="str">
        <f t="shared" si="1"/>
        <v>Jun 27, 2018</v>
      </c>
      <c r="D47" s="26">
        <f t="shared" si="8"/>
        <v>0.75</v>
      </c>
      <c r="E47" s="96" t="str">
        <f>AB35</f>
        <v>Serbia</v>
      </c>
      <c r="F47" s="111">
        <v>0</v>
      </c>
      <c r="G47" s="112">
        <v>2</v>
      </c>
      <c r="H47" s="93" t="str">
        <f>AB32</f>
        <v>Brazil</v>
      </c>
      <c r="J47" s="61" t="str">
        <f>VLOOKUP(3,AA44:AK47,2,FALSE)</f>
        <v>Tunisia</v>
      </c>
      <c r="K47" s="29">
        <f>L47+M47+N47</f>
        <v>3</v>
      </c>
      <c r="L47" s="29">
        <f>VLOOKUP(3,AA44:AK47,3,FALSE)</f>
        <v>1</v>
      </c>
      <c r="M47" s="29">
        <f>VLOOKUP(3,AA44:AK47,4,FALSE)</f>
        <v>0</v>
      </c>
      <c r="N47" s="29">
        <f>VLOOKUP(3,AA44:AK47,5,FALSE)</f>
        <v>2</v>
      </c>
      <c r="O47" s="29" t="str">
        <f>VLOOKUP(3,AA44:AK47,6,FALSE) &amp; " - " &amp; VLOOKUP(3,AA44:AK47,7,FALSE)</f>
        <v>5 - 8</v>
      </c>
      <c r="P47" s="62">
        <f>L47*3+M47</f>
        <v>3</v>
      </c>
      <c r="R47" s="101">
        <f>DATE(2018,6,27)+TIME(7,0,0)+gmt_delta</f>
        <v>43278.75</v>
      </c>
      <c r="S47" s="106" t="str">
        <f t="shared" si="2"/>
        <v>Serbia_lose</v>
      </c>
      <c r="T47" s="106" t="str">
        <f t="shared" si="3"/>
        <v>Brazil_win</v>
      </c>
      <c r="U47" s="102">
        <f t="shared" si="4"/>
        <v>0</v>
      </c>
      <c r="V47" s="101">
        <f t="shared" si="5"/>
        <v>0</v>
      </c>
      <c r="W47" s="101">
        <f t="shared" si="6"/>
        <v>0</v>
      </c>
      <c r="X47" s="101">
        <f t="shared" si="7"/>
        <v>0</v>
      </c>
      <c r="Y47" s="101">
        <f t="shared" si="9"/>
        <v>-1</v>
      </c>
      <c r="AA47" s="101">
        <f>COUNTIF(AQ44:AQ47,CONCATENATE("&gt;=",AQ47))</f>
        <v>2</v>
      </c>
      <c r="AB47" s="102" t="str">
        <f>VLOOKUP("England",T,lang,FALSE)</f>
        <v>England</v>
      </c>
      <c r="AC47" s="101">
        <f>COUNTIF($S$7:$T$54,"=" &amp; AB47 &amp; "_win")</f>
        <v>2</v>
      </c>
      <c r="AD47" s="101">
        <f>COUNTIF($S$7:$T$54,"=" &amp; AB47 &amp; "_draw")</f>
        <v>0</v>
      </c>
      <c r="AE47" s="101">
        <f>COUNTIF($S$7:$T$54,"=" &amp; AB47 &amp; "_lose")</f>
        <v>1</v>
      </c>
      <c r="AF47" s="101">
        <f>SUMIF($E$7:$E$54,$AB47,$F$7:$F$54) + SUMIF($H$7:$H$54,$AB47,$G$7:$G$54)</f>
        <v>8</v>
      </c>
      <c r="AG47" s="101">
        <f>SUMIF($E$7:$E$54,$AB47,$G$7:$G$54) + SUMIF($H$7:$H$54,$AB47,$F$7:$F$54)</f>
        <v>3</v>
      </c>
      <c r="AH47" s="101">
        <f>(AF47-AG47)*100+AK47*10000+AF47</f>
        <v>60508</v>
      </c>
      <c r="AI47" s="101">
        <f>AF47-AG47</f>
        <v>5</v>
      </c>
      <c r="AJ47" s="101">
        <f>(AI47-AI49)/AI48</f>
        <v>0.82352941176470584</v>
      </c>
      <c r="AK47" s="101">
        <f>AC47*3+AD47</f>
        <v>6</v>
      </c>
      <c r="AL47" s="101">
        <f>AS47/AS48*1000+AT47/AT48*100+AW47/AW48*10+AU47/AU48</f>
        <v>0</v>
      </c>
      <c r="AM47" s="101">
        <f>VLOOKUP(AB47,fair_play,2,FALSE)</f>
        <v>-2</v>
      </c>
      <c r="AN47" s="101">
        <f t="shared" si="28"/>
        <v>4</v>
      </c>
      <c r="AO47" s="101">
        <f>VLOOKUP(AB47,fair_play,3,FALSE)</f>
        <v>9</v>
      </c>
      <c r="AP47" s="101">
        <f t="shared" si="29"/>
        <v>3</v>
      </c>
      <c r="AQ47" s="102">
        <f>1000*AK47/AK48+100*AJ47+10*AF47/AF48+1*AL47/AL48+0.00001*AN47+0.000001*AP47</f>
        <v>692.35298417647061</v>
      </c>
      <c r="AS47" s="104">
        <f>SUMPRODUCT(($S$7:$S$54=AB47&amp;"_win")*($U$7:$U$54))+SUMPRODUCT(($T$7:$T$54=AB47&amp;"_win")*($U$7:$U$54))</f>
        <v>0</v>
      </c>
      <c r="AT47" s="105">
        <f>SUMPRODUCT(($S$7:$S$54=AB47&amp;"_draw")*($U$7:$U$54))+SUMPRODUCT(($T$7:$T$54=AB47&amp;"_draw")*($U$7:$U$54))</f>
        <v>0</v>
      </c>
      <c r="AU47" s="105">
        <f>SUMPRODUCT(($E$7:$E$54=AB47)*($U$7:$U$54)*($F$7:$F$54))+SUMPRODUCT(($H$7:$H$54=AB47)*($U$7:$U$54)*($G$7:$G$54))</f>
        <v>0</v>
      </c>
      <c r="AV47" s="105">
        <f>SUMPRODUCT(($E$7:$E$54=AB47)*($U$7:$U$54)*($G$7:$G$54))+SUMPRODUCT(($H$7:$H$54=AB47)*($U$7:$U$54)*($F$7:$F$54))</f>
        <v>0</v>
      </c>
      <c r="AW47" s="105">
        <f>AU47-AV47</f>
        <v>0</v>
      </c>
      <c r="BB47" s="146"/>
      <c r="BC47" s="147"/>
      <c r="BD47" s="147"/>
      <c r="BE47" s="147"/>
      <c r="BF47" s="148"/>
    </row>
    <row r="48" spans="1:79" ht="15" customHeight="1" x14ac:dyDescent="0.25">
      <c r="A48" s="23">
        <v>42</v>
      </c>
      <c r="B48" s="24" t="str">
        <f t="shared" si="0"/>
        <v>Wed</v>
      </c>
      <c r="C48" s="25" t="str">
        <f t="shared" si="1"/>
        <v>Jun 27, 2018</v>
      </c>
      <c r="D48" s="26">
        <f t="shared" si="8"/>
        <v>0.75</v>
      </c>
      <c r="E48" s="96" t="str">
        <f>AB33</f>
        <v>Switzerland</v>
      </c>
      <c r="F48" s="111">
        <v>2</v>
      </c>
      <c r="G48" s="112">
        <v>2</v>
      </c>
      <c r="H48" s="93" t="str">
        <f>AB34</f>
        <v>Costa Rica</v>
      </c>
      <c r="J48" s="63" t="str">
        <f>VLOOKUP(4,AA44:AK47,2,FALSE)</f>
        <v>Panama</v>
      </c>
      <c r="K48" s="64">
        <f>L48+M48+N48</f>
        <v>3</v>
      </c>
      <c r="L48" s="64">
        <f>VLOOKUP(4,AA44:AK47,3,FALSE)</f>
        <v>0</v>
      </c>
      <c r="M48" s="64">
        <f>VLOOKUP(4,AA44:AK47,4,FALSE)</f>
        <v>0</v>
      </c>
      <c r="N48" s="64">
        <f>VLOOKUP(4,AA44:AK47,5,FALSE)</f>
        <v>3</v>
      </c>
      <c r="O48" s="64" t="str">
        <f>VLOOKUP(4,AA44:AK47,6,FALSE) &amp; " - " &amp; VLOOKUP(4,AA44:AK47,7,FALSE)</f>
        <v>2 - 11</v>
      </c>
      <c r="P48" s="65">
        <f>L48*3+M48</f>
        <v>0</v>
      </c>
      <c r="R48" s="101">
        <f>DATE(2018,6,27)+TIME(7,0,0)+gmt_delta</f>
        <v>43278.75</v>
      </c>
      <c r="S48" s="106" t="str">
        <f t="shared" si="2"/>
        <v>Switzerland_draw</v>
      </c>
      <c r="T48" s="106" t="str">
        <f t="shared" si="3"/>
        <v>Costa Rica_draw</v>
      </c>
      <c r="U48" s="102">
        <f t="shared" si="4"/>
        <v>0</v>
      </c>
      <c r="V48" s="101">
        <f t="shared" si="5"/>
        <v>0</v>
      </c>
      <c r="W48" s="101">
        <f t="shared" si="6"/>
        <v>0</v>
      </c>
      <c r="X48" s="101">
        <f t="shared" si="7"/>
        <v>0</v>
      </c>
      <c r="Y48" s="101">
        <f t="shared" si="9"/>
        <v>0</v>
      </c>
      <c r="AC48" s="101">
        <f t="shared" ref="AC48:AL48" si="30">MAX(AC44:AC47)-MIN(AC44:AC47)+1</f>
        <v>4</v>
      </c>
      <c r="AD48" s="101">
        <f t="shared" si="30"/>
        <v>1</v>
      </c>
      <c r="AE48" s="101">
        <f t="shared" si="30"/>
        <v>4</v>
      </c>
      <c r="AF48" s="101">
        <f t="shared" si="30"/>
        <v>8</v>
      </c>
      <c r="AG48" s="101">
        <f t="shared" si="30"/>
        <v>10</v>
      </c>
      <c r="AH48" s="101">
        <f>MAX(AH44:AH47)-AH49+1</f>
        <v>91608</v>
      </c>
      <c r="AI48" s="101">
        <f>MAX(AI44:AI47)-AI49+1</f>
        <v>17</v>
      </c>
      <c r="AK48" s="101">
        <f t="shared" si="30"/>
        <v>10</v>
      </c>
      <c r="AL48" s="101">
        <f t="shared" si="30"/>
        <v>1</v>
      </c>
      <c r="AM48" s="101"/>
      <c r="AN48" s="101"/>
      <c r="AO48" s="101"/>
      <c r="AP48" s="101"/>
      <c r="AS48" s="101">
        <f>MAX(AS44:AS47)-MIN(AS44:AS47)+1</f>
        <v>1</v>
      </c>
      <c r="AT48" s="101">
        <f>MAX(AT44:AT47)-MIN(AT44:AT47)+1</f>
        <v>1</v>
      </c>
      <c r="AU48" s="101">
        <f>MAX(AU44:AU47)-MIN(AU44:AU47)+1</f>
        <v>1</v>
      </c>
      <c r="AV48" s="101">
        <f>MAX(AV44:AV47)-MIN(AV44:AV47)+1</f>
        <v>1</v>
      </c>
      <c r="AW48" s="101">
        <f>MAX(AW44:AW47)-MIN(AW44:AW47)+1</f>
        <v>1</v>
      </c>
      <c r="BB48" s="146"/>
      <c r="BC48" s="147"/>
      <c r="BD48" s="147"/>
      <c r="BE48" s="147"/>
      <c r="BF48" s="148"/>
    </row>
    <row r="49" spans="1:58" ht="15" customHeight="1" x14ac:dyDescent="0.25">
      <c r="A49" s="23">
        <v>43</v>
      </c>
      <c r="B49" s="24" t="str">
        <f t="shared" si="0"/>
        <v>Wed</v>
      </c>
      <c r="C49" s="25" t="str">
        <f t="shared" si="1"/>
        <v>Jun 27, 2018</v>
      </c>
      <c r="D49" s="26">
        <f t="shared" si="8"/>
        <v>0.58333333333333337</v>
      </c>
      <c r="E49" s="96" t="str">
        <f>AB41</f>
        <v>Korea Republic</v>
      </c>
      <c r="F49" s="111">
        <v>2</v>
      </c>
      <c r="G49" s="112">
        <v>0</v>
      </c>
      <c r="H49" s="93" t="str">
        <f>AB38</f>
        <v>Germany</v>
      </c>
      <c r="R49" s="101">
        <f>DATE(2018,6,27)+TIME(3,0,0)+gmt_delta</f>
        <v>43278.583333333336</v>
      </c>
      <c r="S49" s="106" t="str">
        <f t="shared" si="2"/>
        <v>Korea Republic_win</v>
      </c>
      <c r="T49" s="106" t="str">
        <f t="shared" si="3"/>
        <v>Germany_lose</v>
      </c>
      <c r="U49" s="102">
        <f t="shared" si="4"/>
        <v>0</v>
      </c>
      <c r="V49" s="101">
        <f t="shared" si="5"/>
        <v>0</v>
      </c>
      <c r="W49" s="101">
        <f t="shared" si="6"/>
        <v>0</v>
      </c>
      <c r="X49" s="101">
        <f t="shared" si="7"/>
        <v>0</v>
      </c>
      <c r="Y49" s="101">
        <f t="shared" si="9"/>
        <v>1</v>
      </c>
      <c r="AH49" s="101">
        <f>MIN(AH44:AH47)</f>
        <v>-898</v>
      </c>
      <c r="AI49" s="101">
        <f>MIN(AI44:AI47)</f>
        <v>-9</v>
      </c>
      <c r="AO49" s="101"/>
      <c r="AP49" s="101"/>
      <c r="BB49" s="146"/>
      <c r="BC49" s="147"/>
      <c r="BD49" s="147"/>
      <c r="BE49" s="147"/>
      <c r="BF49" s="148"/>
    </row>
    <row r="50" spans="1:58" ht="15" customHeight="1" x14ac:dyDescent="0.25">
      <c r="A50" s="23">
        <v>44</v>
      </c>
      <c r="B50" s="24" t="str">
        <f t="shared" si="0"/>
        <v>Wed</v>
      </c>
      <c r="C50" s="25" t="str">
        <f t="shared" si="1"/>
        <v>Jun 27, 2018</v>
      </c>
      <c r="D50" s="26">
        <f t="shared" si="8"/>
        <v>0.58333333333333337</v>
      </c>
      <c r="E50" s="96" t="str">
        <f>AB39</f>
        <v>Mexico</v>
      </c>
      <c r="F50" s="111">
        <v>0</v>
      </c>
      <c r="G50" s="112">
        <v>3</v>
      </c>
      <c r="H50" s="93" t="str">
        <f>AB40</f>
        <v>Sweden</v>
      </c>
      <c r="J50" s="66" t="str">
        <f>INDEX(T,9,lang) &amp; " " &amp; "H"</f>
        <v>Group H</v>
      </c>
      <c r="K50" s="67" t="str">
        <f>INDEX(T,10,lang)</f>
        <v>PL</v>
      </c>
      <c r="L50" s="67" t="str">
        <f>INDEX(T,11,lang)</f>
        <v>W</v>
      </c>
      <c r="M50" s="67" t="str">
        <f>INDEX(T,12,lang)</f>
        <v>DRAW</v>
      </c>
      <c r="N50" s="67" t="str">
        <f>INDEX(T,13,lang)</f>
        <v>L</v>
      </c>
      <c r="O50" s="67" t="str">
        <f>INDEX(T,14,lang)</f>
        <v>GF - GA</v>
      </c>
      <c r="P50" s="68" t="str">
        <f>INDEX(T,15,lang)</f>
        <v>PNT</v>
      </c>
      <c r="R50" s="101">
        <f>DATE(2018,6,27)+TIME(3,0,0)+gmt_delta</f>
        <v>43278.583333333336</v>
      </c>
      <c r="S50" s="106" t="str">
        <f t="shared" si="2"/>
        <v>Mexico_lose</v>
      </c>
      <c r="T50" s="106" t="str">
        <f t="shared" si="3"/>
        <v>Sweden_win</v>
      </c>
      <c r="U50" s="102">
        <f t="shared" si="4"/>
        <v>0</v>
      </c>
      <c r="V50" s="101">
        <f t="shared" si="5"/>
        <v>0</v>
      </c>
      <c r="W50" s="101">
        <f t="shared" si="6"/>
        <v>0</v>
      </c>
      <c r="X50" s="101">
        <f t="shared" si="7"/>
        <v>0</v>
      </c>
      <c r="Y50" s="101">
        <f t="shared" si="9"/>
        <v>-1</v>
      </c>
      <c r="AA50" s="101">
        <f>COUNTIF(AQ50:AQ53,CONCATENATE("&gt;=",AQ50))</f>
        <v>4</v>
      </c>
      <c r="AB50" s="102" t="str">
        <f>VLOOKUP("Poland",T,lang,FALSE)</f>
        <v>Poland</v>
      </c>
      <c r="AC50" s="101">
        <f>COUNTIF($S$7:$T$54,"=" &amp; AB50 &amp; "_win")</f>
        <v>1</v>
      </c>
      <c r="AD50" s="101">
        <f>COUNTIF($S$7:$T$54,"=" &amp; AB50 &amp; "_draw")</f>
        <v>0</v>
      </c>
      <c r="AE50" s="101">
        <f>COUNTIF($S$7:$T$54,"=" &amp; AB50 &amp; "_lose")</f>
        <v>2</v>
      </c>
      <c r="AF50" s="101">
        <f>SUMIF($E$7:$E$54,$AB50,$F$7:$F$54) + SUMIF($H$7:$H$54,$AB50,$G$7:$G$54)</f>
        <v>2</v>
      </c>
      <c r="AG50" s="101">
        <f>SUMIF($E$7:$E$54,$AB50,$G$7:$G$54) + SUMIF($H$7:$H$54,$AB50,$F$7:$F$54)</f>
        <v>5</v>
      </c>
      <c r="AH50" s="101">
        <f>(AF50-AG50)*100+AK50*10000+AF50</f>
        <v>29702</v>
      </c>
      <c r="AI50" s="101">
        <f>AF50-AG50</f>
        <v>-3</v>
      </c>
      <c r="AJ50" s="101">
        <f>(AI50-AI55)/AI54</f>
        <v>0</v>
      </c>
      <c r="AK50" s="101">
        <f>AC50*3+AD50</f>
        <v>3</v>
      </c>
      <c r="AL50" s="101">
        <f>AS50/AS54*1000+AT50/AT54*100+AW50/AW54*10+AU50/AU54</f>
        <v>0</v>
      </c>
      <c r="AM50" s="101">
        <f>VLOOKUP(AB50,fair_play,2,FALSE)</f>
        <v>-6</v>
      </c>
      <c r="AN50" s="101">
        <f>COUNTIF($AM$50:$AM$53,CONCATENATE("&lt;=",AM50))</f>
        <v>3</v>
      </c>
      <c r="AO50" s="101">
        <f>VLOOKUP(AB50,fair_play,3,FALSE)</f>
        <v>21</v>
      </c>
      <c r="AP50" s="101">
        <f>COUNTIF($AO$50:$AO$53,CONCATENATE("&gt;=",AO50))</f>
        <v>2</v>
      </c>
      <c r="AQ50" s="102">
        <f>1000*AK50/AK54+100*AJ50+10*AF50/AF54+1*AL50/AL54+0.00001*AN50+0.000001*AP50</f>
        <v>755.00003200000003</v>
      </c>
      <c r="AR50" s="103" t="str">
        <f>IF(SUM(AC50:AE53)=12,J51,INDEX(T,84,lang))</f>
        <v>Colombia</v>
      </c>
      <c r="AS50" s="104">
        <f>SUMPRODUCT(($S$7:$S$54=AB50&amp;"_win")*($U$7:$U$54))+SUMPRODUCT(($T$7:$T$54=AB50&amp;"_win")*($U$7:$U$54))</f>
        <v>0</v>
      </c>
      <c r="AT50" s="105">
        <f>SUMPRODUCT(($S$7:$S$54=AB50&amp;"_draw")*($U$7:$U$54))+SUMPRODUCT(($T$7:$T$54=AB50&amp;"_draw")*($U$7:$U$54))</f>
        <v>0</v>
      </c>
      <c r="AU50" s="105">
        <f>SUMPRODUCT(($E$7:$E$54=AB50)*($U$7:$U$54)*($F$7:$F$54))+SUMPRODUCT(($H$7:$H$54=AB50)*($U$7:$U$54)*($G$7:$G$54))</f>
        <v>0</v>
      </c>
      <c r="AV50" s="105">
        <f>SUMPRODUCT(($E$7:$E$54=AB50)*($U$7:$U$54)*($G$7:$G$54))+SUMPRODUCT(($H$7:$H$54=AB50)*($U$7:$U$54)*($F$7:$F$54))</f>
        <v>0</v>
      </c>
      <c r="AW50" s="105">
        <f>AU50-AV50</f>
        <v>0</v>
      </c>
      <c r="BB50" s="146"/>
      <c r="BC50" s="147"/>
      <c r="BD50" s="147"/>
      <c r="BE50" s="147"/>
      <c r="BF50" s="148"/>
    </row>
    <row r="51" spans="1:58" ht="15" customHeight="1" x14ac:dyDescent="0.25">
      <c r="A51" s="23">
        <v>45</v>
      </c>
      <c r="B51" s="24" t="str">
        <f t="shared" si="0"/>
        <v>Thu</v>
      </c>
      <c r="C51" s="25" t="str">
        <f t="shared" si="1"/>
        <v>Jun 28, 2018</v>
      </c>
      <c r="D51" s="26">
        <f t="shared" si="8"/>
        <v>0.75</v>
      </c>
      <c r="E51" s="96" t="str">
        <f>AB47</f>
        <v>England</v>
      </c>
      <c r="F51" s="111">
        <v>0</v>
      </c>
      <c r="G51" s="112">
        <v>1</v>
      </c>
      <c r="H51" s="93" t="str">
        <f>AB44</f>
        <v>Belgium</v>
      </c>
      <c r="J51" s="58" t="str">
        <f>VLOOKUP(1,AA50:AK53,2,FALSE)</f>
        <v>Colombia</v>
      </c>
      <c r="K51" s="59">
        <f>L51+M51+N51</f>
        <v>3</v>
      </c>
      <c r="L51" s="59">
        <f>VLOOKUP(1,AA50:AK53,3,FALSE)</f>
        <v>2</v>
      </c>
      <c r="M51" s="59">
        <f>VLOOKUP(1,AA50:AK53,4,FALSE)</f>
        <v>0</v>
      </c>
      <c r="N51" s="59">
        <f>VLOOKUP(1,AA50:AK53,5,FALSE)</f>
        <v>1</v>
      </c>
      <c r="O51" s="59" t="str">
        <f>VLOOKUP(1,AA50:AK53,6,FALSE) &amp; " - " &amp; VLOOKUP(1,AA50:AK53,7,FALSE)</f>
        <v>5 - 2</v>
      </c>
      <c r="P51" s="60">
        <f>L51*3+M51</f>
        <v>6</v>
      </c>
      <c r="R51" s="101">
        <f>DATE(2018,6,28)+TIME(7,0,0)+gmt_delta</f>
        <v>43279.75</v>
      </c>
      <c r="S51" s="106" t="str">
        <f t="shared" si="2"/>
        <v>England_lose</v>
      </c>
      <c r="T51" s="106" t="str">
        <f t="shared" si="3"/>
        <v>Belgium_win</v>
      </c>
      <c r="U51" s="102">
        <f t="shared" si="4"/>
        <v>0</v>
      </c>
      <c r="V51" s="101">
        <f t="shared" si="5"/>
        <v>0</v>
      </c>
      <c r="W51" s="101">
        <f t="shared" si="6"/>
        <v>0</v>
      </c>
      <c r="X51" s="101">
        <f t="shared" si="7"/>
        <v>0</v>
      </c>
      <c r="Y51" s="101">
        <f t="shared" si="9"/>
        <v>-1</v>
      </c>
      <c r="AA51" s="101">
        <f>COUNTIF(AQ50:AQ53,CONCATENATE("&gt;=",AQ51))</f>
        <v>3</v>
      </c>
      <c r="AB51" s="102" t="str">
        <f>VLOOKUP("Senegal",T,lang,FALSE)</f>
        <v>Senegal</v>
      </c>
      <c r="AC51" s="101">
        <f>COUNTIF($S$7:$T$54,"=" &amp; AB51 &amp; "_win")</f>
        <v>1</v>
      </c>
      <c r="AD51" s="101">
        <f>COUNTIF($S$7:$T$54,"=" &amp; AB51 &amp; "_draw")</f>
        <v>1</v>
      </c>
      <c r="AE51" s="101">
        <f>COUNTIF($S$7:$T$54,"=" &amp; AB51 &amp; "_lose")</f>
        <v>1</v>
      </c>
      <c r="AF51" s="101">
        <f>SUMIF($E$7:$E$54,$AB51,$F$7:$F$54) + SUMIF($H$7:$H$54,$AB51,$G$7:$G$54)</f>
        <v>4</v>
      </c>
      <c r="AG51" s="101">
        <f>SUMIF($E$7:$E$54,$AB51,$G$7:$G$54) + SUMIF($H$7:$H$54,$AB51,$F$7:$F$54)</f>
        <v>4</v>
      </c>
      <c r="AH51" s="101">
        <f>(AF51-AG51)*100+AK51*10000+AF51</f>
        <v>40004</v>
      </c>
      <c r="AI51" s="101">
        <f>AF51-AG51</f>
        <v>0</v>
      </c>
      <c r="AJ51" s="101">
        <f>(AI51-AI55)/AI54</f>
        <v>0.42857142857142855</v>
      </c>
      <c r="AK51" s="101">
        <f>AC51*3+AD51</f>
        <v>4</v>
      </c>
      <c r="AL51" s="101">
        <f>AS51/AS54*1000+AT51/AT54*100+AW51/AW54*10+AU51/AU54</f>
        <v>50.666666666666664</v>
      </c>
      <c r="AM51" s="101">
        <f>VLOOKUP(AB51,fair_play,2,FALSE)</f>
        <v>-9</v>
      </c>
      <c r="AN51" s="101">
        <f t="shared" ref="AN51:AN53" si="31">COUNTIF($AM$50:$AM$53,CONCATENATE("&lt;=",AM51))</f>
        <v>1</v>
      </c>
      <c r="AO51" s="101">
        <f>VLOOKUP(AB51,fair_play,3,FALSE)</f>
        <v>25</v>
      </c>
      <c r="AP51" s="101">
        <f t="shared" ref="AP51:AP53" si="32">COUNTIF($AO$50:$AO$53,CONCATENATE("&gt;=",AO51))</f>
        <v>1</v>
      </c>
      <c r="AQ51" s="102">
        <f>1000*AK51/AK54+100*AJ51+10*AF51/AF54+1*AL51/AL54+0.00001*AN51+0.000001*AP51</f>
        <v>1053.8377990184333</v>
      </c>
      <c r="AR51" s="103" t="str">
        <f>IF(SUM(AC50:AE53)=12,J52,INDEX(T,85,lang))</f>
        <v>Japan</v>
      </c>
      <c r="AS51" s="104">
        <f>SUMPRODUCT(($S$7:$S$54=AB51&amp;"_win")*($U$7:$U$54))+SUMPRODUCT(($T$7:$T$54=AB51&amp;"_win")*($U$7:$U$54))</f>
        <v>0</v>
      </c>
      <c r="AT51" s="105">
        <f>SUMPRODUCT(($S$7:$S$54=AB51&amp;"_draw")*($U$7:$U$54))+SUMPRODUCT(($T$7:$T$54=AB51&amp;"_draw")*($U$7:$U$54))</f>
        <v>1</v>
      </c>
      <c r="AU51" s="105">
        <f>SUMPRODUCT(($E$7:$E$54=AB51)*($U$7:$U$54)*($F$7:$F$54))+SUMPRODUCT(($H$7:$H$54=AB51)*($U$7:$U$54)*($G$7:$G$54))</f>
        <v>2</v>
      </c>
      <c r="AV51" s="105">
        <f>SUMPRODUCT(($E$7:$E$54=AB51)*($U$7:$U$54)*($G$7:$G$54))+SUMPRODUCT(($H$7:$H$54=AB51)*($U$7:$U$54)*($F$7:$F$54))</f>
        <v>2</v>
      </c>
      <c r="AW51" s="105">
        <f>AU51-AV51</f>
        <v>0</v>
      </c>
      <c r="BB51" s="146"/>
      <c r="BC51" s="147"/>
      <c r="BD51" s="147"/>
      <c r="BE51" s="147"/>
      <c r="BF51" s="148"/>
    </row>
    <row r="52" spans="1:58" ht="15" customHeight="1" x14ac:dyDescent="0.25">
      <c r="A52" s="23">
        <v>46</v>
      </c>
      <c r="B52" s="24" t="str">
        <f t="shared" si="0"/>
        <v>Thu</v>
      </c>
      <c r="C52" s="25" t="str">
        <f t="shared" si="1"/>
        <v>Jun 28, 2018</v>
      </c>
      <c r="D52" s="26">
        <f t="shared" si="8"/>
        <v>0.75</v>
      </c>
      <c r="E52" s="96" t="str">
        <f>AB45</f>
        <v>Panama</v>
      </c>
      <c r="F52" s="111">
        <v>1</v>
      </c>
      <c r="G52" s="112">
        <v>2</v>
      </c>
      <c r="H52" s="93" t="str">
        <f>AB46</f>
        <v>Tunisia</v>
      </c>
      <c r="J52" s="61" t="str">
        <f>VLOOKUP(2,AA50:AK53,2,FALSE)</f>
        <v>Japan</v>
      </c>
      <c r="K52" s="29">
        <f>L52+M52+N52</f>
        <v>3</v>
      </c>
      <c r="L52" s="29">
        <f>VLOOKUP(2,AA50:AK53,3,FALSE)</f>
        <v>1</v>
      </c>
      <c r="M52" s="29">
        <f>VLOOKUP(2,AA50:AK53,4,FALSE)</f>
        <v>1</v>
      </c>
      <c r="N52" s="29">
        <f>VLOOKUP(2,AA50:AK53,5,FALSE)</f>
        <v>1</v>
      </c>
      <c r="O52" s="29" t="str">
        <f>VLOOKUP(2,AA50:AK53,6,FALSE) &amp; " - " &amp; VLOOKUP(2,AA50:AK53,7,FALSE)</f>
        <v>4 - 4</v>
      </c>
      <c r="P52" s="62">
        <f>L52*3+M52</f>
        <v>4</v>
      </c>
      <c r="R52" s="101">
        <f>DATE(2018,6,28)+TIME(7,0,0)+gmt_delta</f>
        <v>43279.75</v>
      </c>
      <c r="S52" s="106" t="str">
        <f t="shared" si="2"/>
        <v>Panama_lose</v>
      </c>
      <c r="T52" s="106" t="str">
        <f t="shared" si="3"/>
        <v>Tunisia_win</v>
      </c>
      <c r="U52" s="102">
        <f t="shared" si="4"/>
        <v>0</v>
      </c>
      <c r="V52" s="101">
        <f t="shared" si="5"/>
        <v>0</v>
      </c>
      <c r="W52" s="101">
        <f t="shared" si="6"/>
        <v>0</v>
      </c>
      <c r="X52" s="101">
        <f t="shared" si="7"/>
        <v>0</v>
      </c>
      <c r="Y52" s="101">
        <f t="shared" si="9"/>
        <v>-1</v>
      </c>
      <c r="AA52" s="101">
        <f>COUNTIF(AQ50:AQ53,CONCATENATE("&gt;=",AQ52))</f>
        <v>1</v>
      </c>
      <c r="AB52" s="102" t="str">
        <f>VLOOKUP("Colombia",T,lang,FALSE)</f>
        <v>Colombia</v>
      </c>
      <c r="AC52" s="101">
        <f>COUNTIF($S$7:$T$54,"=" &amp; AB52 &amp; "_win")</f>
        <v>2</v>
      </c>
      <c r="AD52" s="101">
        <f>COUNTIF($S$7:$T$54,"=" &amp; AB52 &amp; "_draw")</f>
        <v>0</v>
      </c>
      <c r="AE52" s="101">
        <f>COUNTIF($S$7:$T$54,"=" &amp; AB52 &amp; "_lose")</f>
        <v>1</v>
      </c>
      <c r="AF52" s="101">
        <f>SUMIF($E$7:$E$54,$AB52,$F$7:$F$54) + SUMIF($H$7:$H$54,$AB52,$G$7:$G$54)</f>
        <v>5</v>
      </c>
      <c r="AG52" s="101">
        <f>SUMIF($E$7:$E$54,$AB52,$G$7:$G$54) + SUMIF($H$7:$H$54,$AB52,$F$7:$F$54)</f>
        <v>2</v>
      </c>
      <c r="AH52" s="101">
        <f>(AF52-AG52)*100+AK52*10000+AF52</f>
        <v>60305</v>
      </c>
      <c r="AI52" s="101">
        <f>AF52-AG52</f>
        <v>3</v>
      </c>
      <c r="AJ52" s="101">
        <f>(AI52-AI55)/AI54</f>
        <v>0.8571428571428571</v>
      </c>
      <c r="AK52" s="101">
        <f>AC52*3+AD52</f>
        <v>6</v>
      </c>
      <c r="AL52" s="101">
        <f>AS52/AS54*1000+AT52/AT54*100+AW52/AW54*10+AU52/AU54</f>
        <v>0</v>
      </c>
      <c r="AM52" s="101">
        <f>VLOOKUP(AB52,fair_play,2,FALSE)</f>
        <v>-7</v>
      </c>
      <c r="AN52" s="101">
        <f t="shared" si="31"/>
        <v>2</v>
      </c>
      <c r="AO52" s="101">
        <f>VLOOKUP(AB52,fair_play,3,FALSE)</f>
        <v>4</v>
      </c>
      <c r="AP52" s="101">
        <f t="shared" si="32"/>
        <v>4</v>
      </c>
      <c r="AQ52" s="102">
        <f>1000*AK52/AK54+100*AJ52+10*AF52/AF54+1*AL52/AL54+0.00001*AN52+0.000001*AP52</f>
        <v>1598.2143097142857</v>
      </c>
      <c r="AS52" s="104">
        <f>SUMPRODUCT(($S$7:$S$54=AB52&amp;"_win")*($U$7:$U$54))+SUMPRODUCT(($T$7:$T$54=AB52&amp;"_win")*($U$7:$U$54))</f>
        <v>0</v>
      </c>
      <c r="AT52" s="105">
        <f>SUMPRODUCT(($S$7:$S$54=AB52&amp;"_draw")*($U$7:$U$54))+SUMPRODUCT(($T$7:$T$54=AB52&amp;"_draw")*($U$7:$U$54))</f>
        <v>0</v>
      </c>
      <c r="AU52" s="105">
        <f>SUMPRODUCT(($E$7:$E$54=AB52)*($U$7:$U$54)*($F$7:$F$54))+SUMPRODUCT(($H$7:$H$54=AB52)*($U$7:$U$54)*($G$7:$G$54))</f>
        <v>0</v>
      </c>
      <c r="AV52" s="105">
        <f>SUMPRODUCT(($E$7:$E$54=AB52)*($U$7:$U$54)*($G$7:$G$54))+SUMPRODUCT(($H$7:$H$54=AB52)*($U$7:$U$54)*($F$7:$F$54))</f>
        <v>0</v>
      </c>
      <c r="AW52" s="105">
        <f>AU52-AV52</f>
        <v>0</v>
      </c>
      <c r="BB52" s="149"/>
      <c r="BC52" s="150"/>
      <c r="BD52" s="150"/>
      <c r="BE52" s="150"/>
      <c r="BF52" s="151"/>
    </row>
    <row r="53" spans="1:58" ht="15" customHeight="1" x14ac:dyDescent="0.25">
      <c r="A53" s="23">
        <v>47</v>
      </c>
      <c r="B53" s="24" t="str">
        <f t="shared" si="0"/>
        <v>Thu</v>
      </c>
      <c r="C53" s="25" t="str">
        <f t="shared" si="1"/>
        <v>Jun 28, 2018</v>
      </c>
      <c r="D53" s="26">
        <f t="shared" si="8"/>
        <v>0.58333333333333337</v>
      </c>
      <c r="E53" s="96" t="str">
        <f>AB53</f>
        <v>Japan</v>
      </c>
      <c r="F53" s="111">
        <v>0</v>
      </c>
      <c r="G53" s="112">
        <v>1</v>
      </c>
      <c r="H53" s="93" t="str">
        <f>AB50</f>
        <v>Poland</v>
      </c>
      <c r="J53" s="61" t="str">
        <f>VLOOKUP(3,AA50:AK53,2,FALSE)</f>
        <v>Senegal</v>
      </c>
      <c r="K53" s="29">
        <f>L53+M53+N53</f>
        <v>3</v>
      </c>
      <c r="L53" s="29">
        <f>VLOOKUP(3,AA50:AK53,3,FALSE)</f>
        <v>1</v>
      </c>
      <c r="M53" s="29">
        <f>VLOOKUP(3,AA50:AK53,4,FALSE)</f>
        <v>1</v>
      </c>
      <c r="N53" s="29">
        <f>VLOOKUP(3,AA50:AK53,5,FALSE)</f>
        <v>1</v>
      </c>
      <c r="O53" s="29" t="str">
        <f>VLOOKUP(3,AA50:AK53,6,FALSE) &amp; " - " &amp; VLOOKUP(3,AA50:AK53,7,FALSE)</f>
        <v>4 - 4</v>
      </c>
      <c r="P53" s="62">
        <f>L53*3+M53</f>
        <v>4</v>
      </c>
      <c r="R53" s="101">
        <f>DATE(2018,6,28)+TIME(3,0,0)+gmt_delta</f>
        <v>43279.583333333336</v>
      </c>
      <c r="S53" s="106" t="str">
        <f t="shared" si="2"/>
        <v>Japan_lose</v>
      </c>
      <c r="T53" s="106" t="str">
        <f t="shared" si="3"/>
        <v>Poland_win</v>
      </c>
      <c r="U53" s="102">
        <f t="shared" si="4"/>
        <v>0</v>
      </c>
      <c r="V53" s="101">
        <f t="shared" si="5"/>
        <v>0</v>
      </c>
      <c r="W53" s="101">
        <f t="shared" si="6"/>
        <v>0</v>
      </c>
      <c r="X53" s="101">
        <f t="shared" si="7"/>
        <v>0</v>
      </c>
      <c r="Y53" s="101">
        <f t="shared" si="9"/>
        <v>-1</v>
      </c>
      <c r="AA53" s="101">
        <f>COUNTIF(AQ50:AQ53,CONCATENATE("&gt;=",AQ53))</f>
        <v>2</v>
      </c>
      <c r="AB53" s="102" t="str">
        <f>VLOOKUP("Japan",T,lang,FALSE)</f>
        <v>Japan</v>
      </c>
      <c r="AC53" s="101">
        <f>COUNTIF($S$7:$T$54,"=" &amp; AB53 &amp; "_win")</f>
        <v>1</v>
      </c>
      <c r="AD53" s="101">
        <f>COUNTIF($S$7:$T$54,"=" &amp; AB53 &amp; "_draw")</f>
        <v>1</v>
      </c>
      <c r="AE53" s="101">
        <f>COUNTIF($S$7:$T$54,"=" &amp; AB53 &amp; "_lose")</f>
        <v>1</v>
      </c>
      <c r="AF53" s="101">
        <f>SUMIF($E$7:$E$54,$AB53,$F$7:$F$54) + SUMIF($H$7:$H$54,$AB53,$G$7:$G$54)</f>
        <v>4</v>
      </c>
      <c r="AG53" s="101">
        <f>SUMIF($E$7:$E$54,$AB53,$G$7:$G$54) + SUMIF($H$7:$H$54,$AB53,$F$7:$F$54)</f>
        <v>4</v>
      </c>
      <c r="AH53" s="101">
        <f>(AF53-AG53)*100+AK53*10000+AF53</f>
        <v>40004</v>
      </c>
      <c r="AI53" s="101">
        <f>AF53-AG53</f>
        <v>0</v>
      </c>
      <c r="AJ53" s="101">
        <f>(AI53-AI55)/AI54</f>
        <v>0.42857142857142855</v>
      </c>
      <c r="AK53" s="101">
        <f>AC53*3+AD53</f>
        <v>4</v>
      </c>
      <c r="AL53" s="101">
        <f>AS53/AS54*1000+AT53/AT54*100+AW53/AW54*10+AU53/AU54</f>
        <v>50.666666666666664</v>
      </c>
      <c r="AM53" s="101">
        <f>VLOOKUP(AB53,fair_play,2,FALSE)</f>
        <v>-4</v>
      </c>
      <c r="AN53" s="101">
        <f t="shared" si="31"/>
        <v>4</v>
      </c>
      <c r="AO53" s="101">
        <f>VLOOKUP(AB53,fair_play,3,FALSE)</f>
        <v>14</v>
      </c>
      <c r="AP53" s="101">
        <f t="shared" si="32"/>
        <v>3</v>
      </c>
      <c r="AQ53" s="102">
        <f>1000*AK53/AK54+100*AJ53+10*AF53/AF54+1*AL53/AL54+0.00001*AN53+0.000001*AP53</f>
        <v>1053.8378310184332</v>
      </c>
      <c r="AS53" s="104">
        <f>SUMPRODUCT(($S$7:$S$54=AB53&amp;"_win")*($U$7:$U$54))+SUMPRODUCT(($T$7:$T$54=AB53&amp;"_win")*($U$7:$U$54))</f>
        <v>0</v>
      </c>
      <c r="AT53" s="105">
        <f>SUMPRODUCT(($S$7:$S$54=AB53&amp;"_draw")*($U$7:$U$54))+SUMPRODUCT(($T$7:$T$54=AB53&amp;"_draw")*($U$7:$U$54))</f>
        <v>1</v>
      </c>
      <c r="AU53" s="105">
        <f>SUMPRODUCT(($E$7:$E$54=AB53)*($U$7:$U$54)*($F$7:$F$54))+SUMPRODUCT(($H$7:$H$54=AB53)*($U$7:$U$54)*($G$7:$G$54))</f>
        <v>2</v>
      </c>
      <c r="AV53" s="105">
        <f>SUMPRODUCT(($E$7:$E$54=AB53)*($U$7:$U$54)*($G$7:$G$54))+SUMPRODUCT(($H$7:$H$54=AB53)*($U$7:$U$54)*($F$7:$F$54))</f>
        <v>2</v>
      </c>
      <c r="AW53" s="105">
        <f>AU53-AV53</f>
        <v>0</v>
      </c>
    </row>
    <row r="54" spans="1:58" ht="15" customHeight="1" x14ac:dyDescent="0.25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97" t="str">
        <f>AB51</f>
        <v>Senegal</v>
      </c>
      <c r="F54" s="113">
        <v>0</v>
      </c>
      <c r="G54" s="114">
        <v>1</v>
      </c>
      <c r="H54" s="94" t="str">
        <f>AB52</f>
        <v>Colombia</v>
      </c>
      <c r="J54" s="63" t="str">
        <f>VLOOKUP(4,AA50:AK53,2,FALSE)</f>
        <v>Poland</v>
      </c>
      <c r="K54" s="64">
        <f>L54+M54+N54</f>
        <v>3</v>
      </c>
      <c r="L54" s="64">
        <f>VLOOKUP(4,AA50:AK53,3,FALSE)</f>
        <v>1</v>
      </c>
      <c r="M54" s="64">
        <f>VLOOKUP(4,AA50:AK53,4,FALSE)</f>
        <v>0</v>
      </c>
      <c r="N54" s="64">
        <f>VLOOKUP(4,AA50:AK53,5,FALSE)</f>
        <v>2</v>
      </c>
      <c r="O54" s="64" t="str">
        <f>VLOOKUP(4,AA50:AK53,6,FALSE) &amp; " - " &amp; VLOOKUP(4,AA50:AK53,7,FALSE)</f>
        <v>2 - 5</v>
      </c>
      <c r="P54" s="65">
        <f>L54*3+M54</f>
        <v>3</v>
      </c>
      <c r="R54" s="101">
        <f>DATE(2018,6,28)+TIME(3,0,0)+gmt_delta</f>
        <v>43279.583333333336</v>
      </c>
      <c r="S54" s="106" t="str">
        <f t="shared" si="2"/>
        <v>Senegal_lose</v>
      </c>
      <c r="T54" s="106" t="str">
        <f t="shared" si="3"/>
        <v>Colombia_win</v>
      </c>
      <c r="U54" s="102">
        <f t="shared" si="4"/>
        <v>0</v>
      </c>
      <c r="V54" s="101">
        <f t="shared" si="5"/>
        <v>0</v>
      </c>
      <c r="W54" s="101">
        <f t="shared" si="6"/>
        <v>0</v>
      </c>
      <c r="X54" s="101">
        <f t="shared" si="7"/>
        <v>0</v>
      </c>
      <c r="Y54" s="101">
        <f t="shared" si="9"/>
        <v>-1</v>
      </c>
      <c r="AC54" s="101">
        <f t="shared" ref="AC54:AL54" si="33">MAX(AC50:AC53)-MIN(AC50:AC53)+1</f>
        <v>2</v>
      </c>
      <c r="AD54" s="101">
        <f t="shared" si="33"/>
        <v>2</v>
      </c>
      <c r="AE54" s="101">
        <f t="shared" si="33"/>
        <v>2</v>
      </c>
      <c r="AF54" s="101">
        <f t="shared" si="33"/>
        <v>4</v>
      </c>
      <c r="AG54" s="101">
        <f t="shared" si="33"/>
        <v>4</v>
      </c>
      <c r="AH54" s="101">
        <f>MAX(AH50:AH53)-AH55+1</f>
        <v>30604</v>
      </c>
      <c r="AI54" s="101">
        <f>MAX(AI50:AI53)-AI55+1</f>
        <v>7</v>
      </c>
      <c r="AK54" s="101">
        <f t="shared" si="33"/>
        <v>4</v>
      </c>
      <c r="AL54" s="101">
        <f t="shared" si="33"/>
        <v>51.666666666666664</v>
      </c>
      <c r="AM54" s="101"/>
      <c r="AN54" s="101"/>
      <c r="AO54" s="101"/>
      <c r="AP54" s="101"/>
      <c r="AS54" s="101">
        <f>MAX(AS50:AS53)-MIN(AS50:AS53)+1</f>
        <v>1</v>
      </c>
      <c r="AT54" s="101">
        <f>MAX(AT50:AT53)-MIN(AT50:AT53)+1</f>
        <v>2</v>
      </c>
      <c r="AU54" s="101">
        <f>MAX(AU50:AU53)-MIN(AU50:AU53)+1</f>
        <v>3</v>
      </c>
      <c r="AV54" s="101">
        <f>MAX(AV50:AV53)-MIN(AV50:AV53)+1</f>
        <v>3</v>
      </c>
      <c r="AW54" s="101">
        <f>MAX(AW50:AW53)-MIN(AW50:AW53)+1</f>
        <v>1</v>
      </c>
    </row>
    <row r="55" spans="1:58" x14ac:dyDescent="0.25">
      <c r="A55" s="48"/>
      <c r="B55" s="49"/>
      <c r="C55" s="48"/>
      <c r="D55" s="50"/>
      <c r="E55" s="51"/>
      <c r="F55" s="52"/>
      <c r="G55" s="52"/>
      <c r="H55" s="53"/>
      <c r="I55" s="54"/>
      <c r="J55" s="55"/>
      <c r="K55" s="48"/>
      <c r="L55" s="48"/>
      <c r="M55" s="48"/>
      <c r="N55" s="48"/>
      <c r="O55" s="48"/>
      <c r="P55" s="48"/>
      <c r="AH55" s="101">
        <f>MIN(AH50:AH53)</f>
        <v>29702</v>
      </c>
      <c r="AI55" s="101">
        <f>MIN(AI50:AI53)</f>
        <v>-3</v>
      </c>
    </row>
    <row r="56" spans="1:58" ht="12.75" customHeight="1" x14ac:dyDescent="0.25"/>
    <row r="57" spans="1:58" ht="12.75" customHeight="1" x14ac:dyDescent="0.25"/>
    <row r="58" spans="1:58" x14ac:dyDescent="0.25">
      <c r="R58" s="101">
        <f>DATE(2018,6,30)+TIME(7,0,0)+gmt_delta</f>
        <v>43281.75</v>
      </c>
      <c r="S58" s="106" t="str">
        <f>IF(OR(BD10="",BD11=""),"",IF(BD10&gt;BD11,BC10,IF(BD10&lt;BD11,BC11,IF(OR(BE10="",BE11=""),"draw",IF(BE10&gt;BE11,BC10,IF(BE10&lt;BE11,BC11,IF(OR(BF10="",BF11=""),"draw",IF(BF10&gt;BF11,BC10,IF(BF10&lt;BF11,BC11,"draw")))))))))</f>
        <v>Uruguay</v>
      </c>
      <c r="T58" s="106" t="str">
        <f>IF(OR(S58="",S58="draw"),INDEX(T,86,lang),S58)</f>
        <v>Uruguay</v>
      </c>
    </row>
    <row r="59" spans="1:58" ht="12.75" customHeight="1" x14ac:dyDescent="0.25">
      <c r="R59" s="101">
        <f>DATE(2018,6,30)+TIME(3,0,0)+gmt_delta</f>
        <v>43281.583333333336</v>
      </c>
      <c r="S59" s="106" t="str">
        <f>IF(OR(BD14="",BD15=""),"",IF(BD14&gt;BD15,BC14,IF(BD14&lt;BD15,BC15,IF(OR(BE14="",BE15=""),"draw",IF(BE14&gt;BE15,BC14,IF(BE14&lt;BE15,BC15,IF(OR(BF14="",BF15=""),"draw",IF(BF14&gt;BF15,BC14,IF(BF14&lt;BF15,BC15,"draw")))))))))</f>
        <v>France</v>
      </c>
      <c r="T59" s="106" t="str">
        <f>IF(OR(S59="",S59="draw"),INDEX(T,87,lang),S59)</f>
        <v>France</v>
      </c>
    </row>
    <row r="60" spans="1:58" ht="12.75" customHeight="1" x14ac:dyDescent="0.25">
      <c r="R60" s="101">
        <f>DATE(2018,7,1)+TIME(3,0,0)+gmt_delta</f>
        <v>43282.583333333336</v>
      </c>
      <c r="S60" s="106" t="str">
        <f>IF(OR(BD26="",BD27=""),"",IF(BD26&gt;BD27,BC26,IF(BD26&lt;BD27,BC27,IF(OR(BE26="",BE27=""),"draw",IF(BE26&gt;BE27,BC26,IF(BE26&lt;BE27,BC27,IF(OR(BF26="",BF27=""),"draw",IF(BF26&gt;BF27,BC26,IF(BF26&lt;BF27,BC27,"draw")))))))))</f>
        <v>Russia</v>
      </c>
      <c r="T60" s="106" t="str">
        <f>IF(OR(S60="",S60="draw"),INDEX(T,88,lang),S60)</f>
        <v>Russia</v>
      </c>
    </row>
    <row r="61" spans="1:58" ht="12.75" customHeight="1" x14ac:dyDescent="0.25">
      <c r="R61" s="101">
        <f>DATE(2018,7,1)+TIME(7,0,0)+gmt_delta</f>
        <v>43282.75</v>
      </c>
      <c r="S61" s="106" t="str">
        <f>IF(OR(BD30="",BD31=""),"",IF(BD30&gt;BD31,BC30,IF(BD30&lt;BD31,BC31,IF(OR(BE30="",BE31=""),"draw",IF(BE30&gt;BE31,BC30,IF(BE30&lt;BE31,BC31,IF(OR(BF30="",BF31=""),"draw",IF(BF30&gt;BF31,BC30,IF(BF30&lt;BF31,BC31,"draw")))))))))</f>
        <v>Croatia</v>
      </c>
      <c r="T61" s="106" t="str">
        <f>IF(OR(S61="",S61="draw"),INDEX(T,89,lang),S61)</f>
        <v>Croatia</v>
      </c>
    </row>
    <row r="62" spans="1:58" ht="12.75" customHeight="1" x14ac:dyDescent="0.25">
      <c r="R62" s="101">
        <f>DATE(2018,7,2)+TIME(3,0,0)+gmt_delta</f>
        <v>43283.583333333336</v>
      </c>
      <c r="S62" s="106" t="str">
        <f>IF(OR(BD18="",BD19=""),"",IF(BD18&gt;BD19,BC18,IF(BD18&lt;BD19,BC19,IF(OR(BE18="",BE19=""),"draw",IF(BE18&gt;BE19,BC18,IF(BE18&lt;BE19,BC19,IF(OR(BF18="",BF19=""),"draw",IF(BF18&gt;BF19,BC18,IF(BF18&lt;BF19,BC19,"draw")))))))))</f>
        <v>Brazil</v>
      </c>
      <c r="T62" s="106" t="str">
        <f>IF(OR(S62="",S62="draw"),INDEX(T,90,lang),S62)</f>
        <v>Brazil</v>
      </c>
    </row>
    <row r="63" spans="1:58" ht="12.75" customHeight="1" x14ac:dyDescent="0.25">
      <c r="R63" s="101">
        <f>DATE(2018,7,2)+TIME(7,0,0)+gmt_delta</f>
        <v>43283.75</v>
      </c>
      <c r="S63" s="106" t="str">
        <f>IF(OR(BD22="",BD23=""),"",IF(BD22&gt;BD23,BC22,IF(BD22&lt;BD23,BC23,IF(OR(BE22="",BE23=""),"draw",IF(BE22&gt;BE23,BC22,IF(BE22&lt;BE23,BC23,IF(OR(BF22="",BF23=""),"draw",IF(BF22&gt;BF23,BC22,IF(BF22&lt;BF23,BC23,"draw")))))))))</f>
        <v>Belgium</v>
      </c>
      <c r="T63" s="106" t="str">
        <f>IF(OR(S63="",S63="draw"),INDEX(T,91,lang),S63)</f>
        <v>Belgium</v>
      </c>
    </row>
    <row r="64" spans="1:58" ht="12.75" customHeight="1" x14ac:dyDescent="0.25">
      <c r="R64" s="101">
        <f>DATE(2018,7,3)+TIME(3,0,0)+gmt_delta</f>
        <v>43284.583333333336</v>
      </c>
      <c r="S64" s="106" t="str">
        <f>IF(OR(BD34="",BD35=""),"",IF(BD34&gt;BD35,BC34,IF(BD34&lt;BD35,BC35,IF(OR(BE34="",BE35=""),"draw",IF(BE34&gt;BE35,BC34,IF(BE34&lt;BE35,BC35,IF(OR(BF34="",BF35=""),"draw",IF(BF34&gt;BF35,BC34,IF(BF34&lt;BF35,BC35,"draw")))))))))</f>
        <v>Sweden</v>
      </c>
      <c r="T64" s="106" t="str">
        <f>IF(OR(S64="",S64="draw"),INDEX(T,92,lang),S64)</f>
        <v>Sweden</v>
      </c>
    </row>
    <row r="65" spans="18:26" ht="12.75" customHeight="1" x14ac:dyDescent="0.25">
      <c r="R65" s="101">
        <f>DATE(2018,7,3)+TIME(7,0,0)+gmt_delta</f>
        <v>43284.75</v>
      </c>
      <c r="S65" s="106" t="str">
        <f>IF(OR(BD38="",BD39=""),"",IF(BD38&gt;BD39,BC38,IF(BD38&lt;BD39,BC39,IF(OR(BE38="",BE39=""),"draw",IF(BE38&gt;BE39,BC38,IF(BE38&lt;BE39,BC39,IF(OR(BF38="",BF39=""),"draw",IF(BF38&gt;BF39,BC38,IF(BF38&lt;BF39,BC39,"draw")))))))))</f>
        <v>England</v>
      </c>
      <c r="T65" s="106" t="str">
        <f>IF(OR(S65="",S65="draw"),INDEX(T,93,lang),S65)</f>
        <v>England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101">
        <f>DATE(2018,7,6)+TIME(3,0,0)+gmt_delta</f>
        <v>43287.583333333336</v>
      </c>
      <c r="S69" s="106" t="str">
        <f>IF(OR(BK12="",BK13=""),"",IF(BK12&gt;BK13,BJ12,IF(BK12&lt;BK13,BJ13,IF(OR(BL12="",BL13=""),"draw",IF(BL12&gt;BL13,BJ12,IF(BL12&lt;BL13,BJ13,IF(OR(BM12="",BM13=""),"draw",IF(BM12&gt;BM13,BJ12,IF(BM12&lt;BM13,BJ13,"draw")))))))))</f>
        <v>France</v>
      </c>
      <c r="T69" s="106" t="str">
        <f>IF(OR(S69="",S69="draw"),INDEX(T,94,lang),S69)</f>
        <v>France</v>
      </c>
    </row>
    <row r="70" spans="18:26" ht="12.75" customHeight="1" x14ac:dyDescent="0.25">
      <c r="R70" s="101">
        <f>DATE(2018,7,6)+TIME(7,0,0)+gmt_delta</f>
        <v>43287.75</v>
      </c>
      <c r="S70" s="106" t="str">
        <f>IF(OR(BK20="",BK21=""),"",IF(BK20&gt;BK21,BJ20,IF(BK20&lt;BK21,BJ21,IF(OR(BL20="",BL21=""),"draw",IF(BL20&gt;BL21,BJ20,IF(BL20&lt;BL21,BJ21,IF(OR(BM20="",BM21=""),"draw",IF(BM20&gt;BM21,BJ20,IF(BM20&lt;BM21,BJ21,"draw")))))))))</f>
        <v>Belgium</v>
      </c>
      <c r="T70" s="106" t="str">
        <f>IF(OR(S70="",S70="draw"),INDEX(T,95,lang),S70)</f>
        <v>Belgium</v>
      </c>
    </row>
    <row r="71" spans="18:26" ht="12.75" customHeight="1" x14ac:dyDescent="0.25">
      <c r="R71" s="101">
        <f>DATE(2018,7,7)+TIME(7,0,0)+gmt_delta</f>
        <v>43288.75</v>
      </c>
      <c r="S71" s="106" t="str">
        <f>IF(OR(BK28="",BK29=""),"",IF(BK28&gt;BK29,BJ28,IF(BK28&lt;BK29,BJ29,IF(OR(BL28="",BL29=""),"draw",IF(BL28&gt;BL29,BJ28,IF(BL28&lt;BL29,BJ29,IF(OR(BM28="",BM29=""),"draw",IF(BM28&gt;BM29,BJ28,IF(BM28&lt;BM29,BJ29,"draw")))))))))</f>
        <v>Croatia</v>
      </c>
      <c r="T71" s="106" t="str">
        <f>IF(OR(S71="",S71="draw"),INDEX(T,96,lang),S71)</f>
        <v>Croatia</v>
      </c>
    </row>
    <row r="72" spans="18:26" ht="12.75" customHeight="1" x14ac:dyDescent="0.25">
      <c r="R72" s="101">
        <f>DATE(2018,7,7)+TIME(3,0,0)+gmt_delta</f>
        <v>43288.583333333336</v>
      </c>
      <c r="S72" s="106" t="str">
        <f>IF(OR(BK36="",BK37=""),"",IF(BK36&gt;BK37,BJ36,IF(BK36&lt;BK37,BJ37,IF(OR(BL36="",BL37=""),"draw",IF(BL36&gt;BL37,BJ36,IF(BL36&lt;BL37,BJ37,IF(OR(BM36="",BM37=""),"draw",IF(BM36&gt;BM37,BJ36,IF(BM36&lt;BM37,BJ37,"draw")))))))))</f>
        <v>England</v>
      </c>
      <c r="T72" s="106" t="str">
        <f>IF(OR(S72="",S72="draw"),INDEX(T,97,lang),S72)</f>
        <v>England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101">
        <f>DATE(2018,7,10)+TIME(7,0,0)+gmt_delta</f>
        <v>43291.75</v>
      </c>
      <c r="S76" s="106" t="str">
        <f>IF(OR(BR16="",BR17=""),"",IF(BR16&gt;BR17,BQ16,IF(BR16&lt;BR17,BQ17,IF(OR(BS16="",BS17=""),"draw",IF(BS16&gt;BS17,BQ16,IF(BS16&lt;BS17,BQ17,IF(OR(BT16="",BT17=""),"draw",IF(BT16&gt;BT17,BQ16,IF(BT16&lt;BT17,BQ17,"draw")))))))))</f>
        <v>France</v>
      </c>
      <c r="T76" s="106" t="str">
        <f>IF(OR(S76="",S76="draw"),INDEX(T,98,lang),S76)</f>
        <v>France</v>
      </c>
      <c r="U76" s="106" t="str">
        <f>IF(OR(BR16="",BR17=""),"",IF(BR16&lt;BR17,BQ16,IF(BR16&gt;BR17,BQ17,IF(OR(BS16="",BS17=""),"draw",IF(BS16&lt;BS17,BQ16,IF(BS16&gt;BS17,BQ17,IF(OR(BT16="",BT17=""),"draw",IF(BT16&lt;BT17,BQ16,IF(BT16&gt;BT17,BQ17,"draw")))))))))</f>
        <v>Belgium</v>
      </c>
      <c r="Z76" s="106" t="str">
        <f>IF(OR(U76="",U76="draw"),INDEX(T,100,lang),U76)</f>
        <v>Belgium</v>
      </c>
    </row>
    <row r="77" spans="18:26" ht="12.75" customHeight="1" x14ac:dyDescent="0.25">
      <c r="R77" s="101">
        <f>DATE(2018,7,11)+TIME(7,0,0)+gmt_delta</f>
        <v>43292.75</v>
      </c>
      <c r="S77" s="106" t="str">
        <f>IF(OR(BR32="",BR33=""),"",IF(BR32&gt;BR33,BQ32,IF(BR32&lt;BR33,BQ33,IF(OR(BS32="",BS33=""),"draw",IF(BS32&gt;BS33,BQ32,IF(BS32&lt;BS33,BQ33,IF(OR(BT32="",BT33=""),"draw",IF(BT32&gt;BT33,BQ32,IF(BT32&lt;BT33,BQ33,"draw")))))))))</f>
        <v>Croatia</v>
      </c>
      <c r="T77" s="106" t="str">
        <f>IF(OR(S77="",S77="draw"),INDEX(T,99,lang),S77)</f>
        <v>Croatia</v>
      </c>
      <c r="U77" s="106" t="str">
        <f>IF(OR(BR32="",BR33=""),"",IF(BR32&lt;BR33,BQ32,IF(BR32&gt;BR33,BQ33,IF(OR(BS32="",BS33=""),"draw",IF(BS32&lt;BS33,BQ32,IF(BS32&gt;BS33,BQ33,IF(OR(BT32="",BT33=""),"draw",IF(BT32&lt;BT33,BQ32,IF(BT32&gt;BT33,BQ33,"draw")))))))))</f>
        <v>England</v>
      </c>
      <c r="Z77" s="106" t="str">
        <f>IF(OR(U77="",U77="draw"),INDEX(T,101,lang),U77)</f>
        <v>England</v>
      </c>
    </row>
    <row r="79" spans="18:26" ht="12.75" customHeight="1" x14ac:dyDescent="0.25"/>
    <row r="80" spans="18:26" ht="12.75" customHeight="1" x14ac:dyDescent="0.25"/>
    <row r="81" spans="18:20" x14ac:dyDescent="0.25">
      <c r="R81" s="101">
        <f>DATE(2018,7,14)+TIME(3,0,0)+gmt_delta</f>
        <v>43295.583333333336</v>
      </c>
      <c r="T81" s="106" t="str">
        <f>IF(OR(BY35="",BY36=""),"",IF(BY35&gt;BY36,BX35,IF(BY35&lt;BY36,BX36,IF(OR(BZ35="",BZ36=""),"",IF(BZ35&gt;BZ36,BX35,IF(BZ35&lt;BZ36,BX36,IF(OR(CA35="",CA36=""),"",IF(CA35&gt;CA36,BX35,IF(CA35&lt;CA36,BX36,"")))))))))</f>
        <v>Belgium</v>
      </c>
    </row>
    <row r="83" spans="18:20" ht="12.75" customHeight="1" x14ac:dyDescent="0.25"/>
    <row r="84" spans="18:20" ht="12.75" customHeight="1" x14ac:dyDescent="0.25"/>
    <row r="85" spans="18:20" x14ac:dyDescent="0.25">
      <c r="R85" s="101">
        <f>DATE(2018,7,15)+TIME(4,0,0)+gmt_delta</f>
        <v>43296.625</v>
      </c>
      <c r="S85" s="106" t="str">
        <f>IF(OR(BY23="",BY24=""),"",IF(BY23&gt;BY24,BX23,IF(BY23&lt;BY24,BX24,IF(OR(BZ23="",BZ24=""),"",IF(BZ23&gt;BZ24,BX23,IF(BZ23&lt;BZ24,BX24,IF(OR(CA23="",CA24=""),"",IF(CA23&gt;CA24,BX23,IF(CA23&lt;CA24,BX24,"")))))))))</f>
        <v>France</v>
      </c>
      <c r="T85" s="106" t="str">
        <f>S85</f>
        <v>France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vGy7tfgNF+LQYUz/y1sllFN7upYEDbT6a7whpBRlO0wcZnEmOFaRTNIlFMR//q/21PrdL4BJIvFyIXko3KhKPA==" saltValue="6fdwo3QidqzBFmJPM6Ojlg==" spinCount="100000" sheet="1" objects="1" scenarios="1"/>
  <mergeCells count="28">
    <mergeCell ref="BB46:BF52"/>
    <mergeCell ref="BB38:BB39"/>
    <mergeCell ref="BO41:BT42"/>
    <mergeCell ref="BB34:BB35"/>
    <mergeCell ref="BW35:BW36"/>
    <mergeCell ref="BI36:BI37"/>
    <mergeCell ref="BU41:CA42"/>
    <mergeCell ref="BB30:BB31"/>
    <mergeCell ref="BW31:CA32"/>
    <mergeCell ref="BP32:BP33"/>
    <mergeCell ref="BB26:BB27"/>
    <mergeCell ref="BI28:BI29"/>
    <mergeCell ref="BB22:BB23"/>
    <mergeCell ref="BW23:BW24"/>
    <mergeCell ref="BB18:BB19"/>
    <mergeCell ref="BI20:BI21"/>
    <mergeCell ref="BB14:BB15"/>
    <mergeCell ref="BP16:BP17"/>
    <mergeCell ref="BB10:BB11"/>
    <mergeCell ref="BI12:BI13"/>
    <mergeCell ref="BB6:BF7"/>
    <mergeCell ref="BI6:BM7"/>
    <mergeCell ref="BP6:BT7"/>
    <mergeCell ref="BW6:CA7"/>
    <mergeCell ref="A1:P1"/>
    <mergeCell ref="O3:P3"/>
    <mergeCell ref="A5:H6"/>
    <mergeCell ref="J5:P6"/>
  </mergeCells>
  <conditionalFormatting sqref="F45:F55">
    <cfRule type="expression" dxfId="181" priority="120" stopIfTrue="1">
      <formula>IF(AND($F45&gt;$G45,ISNUMBER($F45),ISNUMBER($G45)),1,0)</formula>
    </cfRule>
  </conditionalFormatting>
  <conditionalFormatting sqref="G45:G55">
    <cfRule type="expression" dxfId="180" priority="121" stopIfTrue="1">
      <formula>IF(AND($F45&lt;$G45,ISNUMBER($F45),ISNUMBER($G45)),1,0)</formula>
    </cfRule>
  </conditionalFormatting>
  <conditionalFormatting sqref="J15:P15 J9:P9 J45:P45 J21:P21 J27:P27 J33:P33 J39:P39 J51:P51">
    <cfRule type="expression" dxfId="179" priority="122" stopIfTrue="1">
      <formula>IF(SUM($K9:$K12)=12,1,0)</formula>
    </cfRule>
  </conditionalFormatting>
  <conditionalFormatting sqref="J16:P16 J10:P10 J46:P46 J22:P22 J28:P28 J34:P34 J40:P40 J52:P52">
    <cfRule type="expression" dxfId="178" priority="123" stopIfTrue="1">
      <formula>IF(SUM($K9:$K12)=12,1,0)</formula>
    </cfRule>
  </conditionalFormatting>
  <conditionalFormatting sqref="J18:P18 J12:P12 J48:P48 J24:P24 J30:P30 J36:P36 J42:P42 J54:P55">
    <cfRule type="expression" dxfId="177" priority="124" stopIfTrue="1">
      <formula>IF(SUM($K9:$K12)=12,1,0)</formula>
    </cfRule>
  </conditionalFormatting>
  <conditionalFormatting sqref="J11:P11 J17:P17 J23:P23 J29:P29 J35:P35 J41:P41 J47:P47 J53:P53">
    <cfRule type="expression" dxfId="176" priority="125" stopIfTrue="1">
      <formula>IF(SUM($K9:$K12)=12,1,0)</formula>
    </cfRule>
  </conditionalFormatting>
  <conditionalFormatting sqref="BD10">
    <cfRule type="expression" dxfId="175" priority="132" stopIfTrue="1">
      <formula>IF(AND($BD10&gt;$BD11,ISNUMBER($BD10),ISNUMBER($BD11)),1,0)</formula>
    </cfRule>
  </conditionalFormatting>
  <conditionalFormatting sqref="BD11">
    <cfRule type="expression" dxfId="174" priority="133" stopIfTrue="1">
      <formula>IF(AND($BD10&lt;$BD11,ISNUMBER($BD10),ISNUMBER($BD11)),1,0)</formula>
    </cfRule>
  </conditionalFormatting>
  <conditionalFormatting sqref="BF10">
    <cfRule type="expression" dxfId="173" priority="134" stopIfTrue="1">
      <formula>IF(AND($BF10&gt;$BF11,ISNUMBER($BF10),ISNUMBER($BF11)),1,0)</formula>
    </cfRule>
  </conditionalFormatting>
  <conditionalFormatting sqref="BF11">
    <cfRule type="expression" dxfId="172" priority="135" stopIfTrue="1">
      <formula>IF(AND($BF10&lt;$BF11,ISNUMBER($BF10),ISNUMBER($BF11)),1,0)</formula>
    </cfRule>
  </conditionalFormatting>
  <conditionalFormatting sqref="BC10">
    <cfRule type="expression" dxfId="171" priority="148" stopIfTrue="1">
      <formula>IF($BC10=$T58,1,0)</formula>
    </cfRule>
    <cfRule type="expression" dxfId="170" priority="149" stopIfTrue="1">
      <formula>IF($BC11=$T58,1,0)</formula>
    </cfRule>
  </conditionalFormatting>
  <conditionalFormatting sqref="BC11">
    <cfRule type="expression" dxfId="169" priority="150" stopIfTrue="1">
      <formula>IF($BC11=$T58,1,0)</formula>
    </cfRule>
    <cfRule type="expression" dxfId="168" priority="151" stopIfTrue="1">
      <formula>IF($BC10=$T58,1,0)</formula>
    </cfRule>
  </conditionalFormatting>
  <conditionalFormatting sqref="BC14">
    <cfRule type="expression" dxfId="167" priority="152" stopIfTrue="1">
      <formula>IF($BC14=$T59,1,0)</formula>
    </cfRule>
    <cfRule type="expression" dxfId="166" priority="153" stopIfTrue="1">
      <formula>IF($BC15=$T59,1,0)</formula>
    </cfRule>
  </conditionalFormatting>
  <conditionalFormatting sqref="BC15">
    <cfRule type="expression" dxfId="165" priority="154" stopIfTrue="1">
      <formula>IF($BC15=$T59,1,0)</formula>
    </cfRule>
    <cfRule type="expression" dxfId="164" priority="155" stopIfTrue="1">
      <formula>IF($BC14=$T59,1,0)</formula>
    </cfRule>
  </conditionalFormatting>
  <conditionalFormatting sqref="BC34">
    <cfRule type="expression" dxfId="163" priority="156" stopIfTrue="1">
      <formula>IF($BC34=$T64,1,0)</formula>
    </cfRule>
    <cfRule type="expression" dxfId="162" priority="157" stopIfTrue="1">
      <formula>IF($BC35=$T64,1,0)</formula>
    </cfRule>
  </conditionalFormatting>
  <conditionalFormatting sqref="BC35">
    <cfRule type="expression" dxfId="161" priority="158" stopIfTrue="1">
      <formula>IF($BC35=$T64,1,0)</formula>
    </cfRule>
    <cfRule type="expression" dxfId="160" priority="159" stopIfTrue="1">
      <formula>IF($BC34=$T64,1,0)</formula>
    </cfRule>
  </conditionalFormatting>
  <conditionalFormatting sqref="BC38">
    <cfRule type="expression" dxfId="159" priority="160" stopIfTrue="1">
      <formula>IF($BC38=$T65,1,0)</formula>
    </cfRule>
    <cfRule type="expression" dxfId="158" priority="161" stopIfTrue="1">
      <formula>IF($BC39=$T65,1,0)</formula>
    </cfRule>
  </conditionalFormatting>
  <conditionalFormatting sqref="BC39">
    <cfRule type="expression" dxfId="157" priority="162" stopIfTrue="1">
      <formula>IF($BC39=$T65,1,0)</formula>
    </cfRule>
    <cfRule type="expression" dxfId="156" priority="163" stopIfTrue="1">
      <formula>IF($BC38=$T65,1,0)</formula>
    </cfRule>
  </conditionalFormatting>
  <conditionalFormatting sqref="BC26">
    <cfRule type="expression" dxfId="155" priority="164" stopIfTrue="1">
      <formula>IF($BC26=$T60,1,0)</formula>
    </cfRule>
    <cfRule type="expression" dxfId="154" priority="165" stopIfTrue="1">
      <formula>IF($BC27=$T60,1,0)</formula>
    </cfRule>
  </conditionalFormatting>
  <conditionalFormatting sqref="BC27">
    <cfRule type="expression" dxfId="153" priority="166" stopIfTrue="1">
      <formula>IF($BC27=$T60,1,0)</formula>
    </cfRule>
    <cfRule type="expression" dxfId="152" priority="167" stopIfTrue="1">
      <formula>IF($BC26=$T60,1,0)</formula>
    </cfRule>
  </conditionalFormatting>
  <conditionalFormatting sqref="BC30">
    <cfRule type="expression" dxfId="151" priority="168" stopIfTrue="1">
      <formula>IF($BC30=$T61,1,0)</formula>
    </cfRule>
    <cfRule type="expression" dxfId="150" priority="169" stopIfTrue="1">
      <formula>IF($BC31=$T61,1,0)</formula>
    </cfRule>
  </conditionalFormatting>
  <conditionalFormatting sqref="BC31">
    <cfRule type="expression" dxfId="149" priority="170" stopIfTrue="1">
      <formula>IF($BC31=$T61,1,0)</formula>
    </cfRule>
    <cfRule type="expression" dxfId="148" priority="171" stopIfTrue="1">
      <formula>IF($BC30=$T61,1,0)</formula>
    </cfRule>
  </conditionalFormatting>
  <conditionalFormatting sqref="BC18">
    <cfRule type="expression" dxfId="147" priority="172" stopIfTrue="1">
      <formula>IF($BC18=$T62,1,0)</formula>
    </cfRule>
    <cfRule type="expression" dxfId="146" priority="173" stopIfTrue="1">
      <formula>IF($BC19=$T62,1,0)</formula>
    </cfRule>
  </conditionalFormatting>
  <conditionalFormatting sqref="BC19">
    <cfRule type="expression" dxfId="145" priority="174" stopIfTrue="1">
      <formula>IF($BC19=$T62,1,0)</formula>
    </cfRule>
    <cfRule type="expression" dxfId="144" priority="175" stopIfTrue="1">
      <formula>IF($BC18=$T62,1,0)</formula>
    </cfRule>
  </conditionalFormatting>
  <conditionalFormatting sqref="BC22">
    <cfRule type="expression" dxfId="143" priority="176" stopIfTrue="1">
      <formula>IF($BC22=$T63,1,0)</formula>
    </cfRule>
    <cfRule type="expression" dxfId="142" priority="177" stopIfTrue="1">
      <formula>IF($BC23=$T63,1,0)</formula>
    </cfRule>
  </conditionalFormatting>
  <conditionalFormatting sqref="BC23">
    <cfRule type="expression" dxfId="141" priority="178" stopIfTrue="1">
      <formula>IF($BC23=$T63,1,0)</formula>
    </cfRule>
    <cfRule type="expression" dxfId="140" priority="179" stopIfTrue="1">
      <formula>IF($BC22=$T63,1,0)</formula>
    </cfRule>
  </conditionalFormatting>
  <conditionalFormatting sqref="BJ12">
    <cfRule type="expression" dxfId="139" priority="180" stopIfTrue="1">
      <formula>IF($BJ12=$T69,1,0)</formula>
    </cfRule>
    <cfRule type="expression" dxfId="138" priority="181" stopIfTrue="1">
      <formula>IF($BJ13=$T69,1,0)</formula>
    </cfRule>
  </conditionalFormatting>
  <conditionalFormatting sqref="BJ13">
    <cfRule type="expression" dxfId="137" priority="182" stopIfTrue="1">
      <formula>IF($BJ13=$T69,1,0)</formula>
    </cfRule>
    <cfRule type="expression" dxfId="136" priority="183" stopIfTrue="1">
      <formula>IF($BJ12=$T69,1,0)</formula>
    </cfRule>
  </conditionalFormatting>
  <conditionalFormatting sqref="BJ20">
    <cfRule type="expression" dxfId="135" priority="184" stopIfTrue="1">
      <formula>IF($BJ20=$T70,1,0)</formula>
    </cfRule>
    <cfRule type="expression" dxfId="134" priority="185" stopIfTrue="1">
      <formula>IF($BJ21=$T70,1,0)</formula>
    </cfRule>
  </conditionalFormatting>
  <conditionalFormatting sqref="BJ21">
    <cfRule type="expression" dxfId="133" priority="186" stopIfTrue="1">
      <formula>IF($BJ21=$T70,1,0)</formula>
    </cfRule>
    <cfRule type="expression" dxfId="132" priority="187" stopIfTrue="1">
      <formula>IF($BJ20=$T70,1,0)</formula>
    </cfRule>
  </conditionalFormatting>
  <conditionalFormatting sqref="BJ28">
    <cfRule type="expression" dxfId="131" priority="188" stopIfTrue="1">
      <formula>IF($BJ28=$T71,1,0)</formula>
    </cfRule>
    <cfRule type="expression" dxfId="130" priority="189" stopIfTrue="1">
      <formula>IF($BJ29=$T71,1,0)</formula>
    </cfRule>
  </conditionalFormatting>
  <conditionalFormatting sqref="BJ29">
    <cfRule type="expression" dxfId="129" priority="190" stopIfTrue="1">
      <formula>IF($BJ29=$T71,1,0)</formula>
    </cfRule>
    <cfRule type="expression" dxfId="128" priority="191" stopIfTrue="1">
      <formula>IF($BJ28=$T71,1,0)</formula>
    </cfRule>
  </conditionalFormatting>
  <conditionalFormatting sqref="BJ36">
    <cfRule type="expression" dxfId="127" priority="192" stopIfTrue="1">
      <formula>IF($BJ36=$T72,1,0)</formula>
    </cfRule>
    <cfRule type="expression" dxfId="126" priority="193" stopIfTrue="1">
      <formula>IF($BJ37=$T72,1,0)</formula>
    </cfRule>
  </conditionalFormatting>
  <conditionalFormatting sqref="BJ37">
    <cfRule type="expression" dxfId="125" priority="194" stopIfTrue="1">
      <formula>IF($BJ37=$T72,1,0)</formula>
    </cfRule>
    <cfRule type="expression" dxfId="124" priority="195" stopIfTrue="1">
      <formula>IF($BJ36=$T72,1,0)</formula>
    </cfRule>
  </conditionalFormatting>
  <conditionalFormatting sqref="BQ16">
    <cfRule type="expression" dxfId="123" priority="196" stopIfTrue="1">
      <formula>IF($BQ16=$T76,1,0)</formula>
    </cfRule>
    <cfRule type="expression" dxfId="122" priority="197" stopIfTrue="1">
      <formula>IF($BQ17=$T76,1,0)</formula>
    </cfRule>
  </conditionalFormatting>
  <conditionalFormatting sqref="BQ17">
    <cfRule type="expression" dxfId="121" priority="198" stopIfTrue="1">
      <formula>IF($BQ17=$T76,1,0)</formula>
    </cfRule>
    <cfRule type="expression" dxfId="120" priority="199" stopIfTrue="1">
      <formula>IF($BQ16=$T76,1,0)</formula>
    </cfRule>
  </conditionalFormatting>
  <conditionalFormatting sqref="BQ32">
    <cfRule type="expression" dxfId="119" priority="200" stopIfTrue="1">
      <formula>IF($BQ32=$T77,1,0)</formula>
    </cfRule>
    <cfRule type="expression" dxfId="118" priority="201" stopIfTrue="1">
      <formula>IF($BQ33=$T77,1,0)</formula>
    </cfRule>
  </conditionalFormatting>
  <conditionalFormatting sqref="BQ33">
    <cfRule type="expression" dxfId="117" priority="202" stopIfTrue="1">
      <formula>IF($BQ33=$T77,1,0)</formula>
    </cfRule>
    <cfRule type="expression" dxfId="116" priority="203" stopIfTrue="1">
      <formula>IF($BQ32=$T77,1,0)</formula>
    </cfRule>
  </conditionalFormatting>
  <conditionalFormatting sqref="BX23">
    <cfRule type="expression" dxfId="115" priority="204" stopIfTrue="1">
      <formula>IF($BX23=$T85,1,0)</formula>
    </cfRule>
    <cfRule type="expression" dxfId="114" priority="205" stopIfTrue="1">
      <formula>IF($BX24=$T85,1,0)</formula>
    </cfRule>
  </conditionalFormatting>
  <conditionalFormatting sqref="BX24">
    <cfRule type="expression" dxfId="113" priority="206" stopIfTrue="1">
      <formula>IF($BX24=$T85,1,0)</formula>
    </cfRule>
    <cfRule type="expression" dxfId="112" priority="207" stopIfTrue="1">
      <formula>IF($BX23=$T85,1,0)</formula>
    </cfRule>
  </conditionalFormatting>
  <conditionalFormatting sqref="BX35">
    <cfRule type="expression" dxfId="111" priority="208" stopIfTrue="1">
      <formula>IF($BX35=$T81,1,0)</formula>
    </cfRule>
    <cfRule type="expression" dxfId="110" priority="209" stopIfTrue="1">
      <formula>IF($BX36=$T81,1,0)</formula>
    </cfRule>
  </conditionalFormatting>
  <conditionalFormatting sqref="BX36">
    <cfRule type="expression" dxfId="109" priority="210" stopIfTrue="1">
      <formula>IF($BX36=$T81,1,0)</formula>
    </cfRule>
    <cfRule type="expression" dxfId="108" priority="211" stopIfTrue="1">
      <formula>IF($BX35=$T81,1,0)</formula>
    </cfRule>
  </conditionalFormatting>
  <conditionalFormatting sqref="E7:E54">
    <cfRule type="expression" dxfId="107" priority="112">
      <formula>IF(AND(X7=0,Y7=-1),1,0)</formula>
    </cfRule>
    <cfRule type="expression" dxfId="106" priority="113">
      <formula>IF(AND(X7=1,Y7=-1),1,0)</formula>
    </cfRule>
    <cfRule type="expression" dxfId="105" priority="114">
      <formula>IF(AND(X7=0,Y7=1),1,0)</formula>
    </cfRule>
    <cfRule type="expression" dxfId="104" priority="115">
      <formula>IF(AND(X7=1,Y7=1),1,0)</formula>
    </cfRule>
    <cfRule type="expression" dxfId="103" priority="116">
      <formula>IF(AND(X7=0,Y7=0),1,0)</formula>
    </cfRule>
    <cfRule type="expression" dxfId="102" priority="117">
      <formula>IF(AND(X7=1,Y7=0),1,0)</formula>
    </cfRule>
  </conditionalFormatting>
  <conditionalFormatting sqref="H7:H54">
    <cfRule type="expression" dxfId="101" priority="106">
      <formula>IF(AND(X7=0,Y7=-1),1,0)</formula>
    </cfRule>
    <cfRule type="expression" dxfId="100" priority="107">
      <formula>IF(AND(X7=1,Y7=-1),1,0)</formula>
    </cfRule>
    <cfRule type="expression" dxfId="99" priority="108">
      <formula>IF(AND(X7=0,Y7=1),1,0)</formula>
    </cfRule>
    <cfRule type="expression" dxfId="98" priority="109">
      <formula>IF(AND(X7=1,Y7=1),1,0)</formula>
    </cfRule>
    <cfRule type="expression" dxfId="97" priority="110">
      <formula>IF(AND(X7=0,Y7=0),1,0)</formula>
    </cfRule>
    <cfRule type="expression" dxfId="96" priority="111">
      <formula>IF(AND(X7=1,Y7=0),1,0)</formula>
    </cfRule>
    <cfRule type="expression" dxfId="95" priority="118">
      <formula>IF(AND(X7=1,Y7=""),1,0)</formula>
    </cfRule>
  </conditionalFormatting>
  <conditionalFormatting sqref="A7:E54">
    <cfRule type="expression" dxfId="94" priority="105">
      <formula>IF($X7=1,1,0)</formula>
    </cfRule>
  </conditionalFormatting>
  <conditionalFormatting sqref="BE10">
    <cfRule type="expression" dxfId="93" priority="104" stopIfTrue="1">
      <formula>IF(AND($BE10&gt;$BE11,ISNUMBER($BE10),ISNUMBER($BE11)),1,0)</formula>
    </cfRule>
  </conditionalFormatting>
  <conditionalFormatting sqref="BE11">
    <cfRule type="expression" dxfId="92" priority="103" stopIfTrue="1">
      <formula>IF(AND($BE10&lt;$BE11,ISNUMBER($BE10),ISNUMBER($BE11)),1,0)</formula>
    </cfRule>
  </conditionalFormatting>
  <conditionalFormatting sqref="BD14">
    <cfRule type="expression" dxfId="91" priority="91" stopIfTrue="1">
      <formula>IF(AND($BD14&gt;$BD15,ISNUMBER($BD14),ISNUMBER($BD15)),1,0)</formula>
    </cfRule>
  </conditionalFormatting>
  <conditionalFormatting sqref="BD15">
    <cfRule type="expression" dxfId="90" priority="92" stopIfTrue="1">
      <formula>IF(AND($BD14&lt;$BD15,ISNUMBER($BD14),ISNUMBER($BD15)),1,0)</formula>
    </cfRule>
  </conditionalFormatting>
  <conditionalFormatting sqref="BF14">
    <cfRule type="expression" dxfId="89" priority="93" stopIfTrue="1">
      <formula>IF(AND($BF14&gt;$BF15,ISNUMBER($BF14),ISNUMBER($BF15)),1,0)</formula>
    </cfRule>
  </conditionalFormatting>
  <conditionalFormatting sqref="BF15">
    <cfRule type="expression" dxfId="88" priority="94" stopIfTrue="1">
      <formula>IF(AND($BF14&lt;$BF15,ISNUMBER($BF14),ISNUMBER($BF15)),1,0)</formula>
    </cfRule>
  </conditionalFormatting>
  <conditionalFormatting sqref="BE14">
    <cfRule type="expression" dxfId="87" priority="90" stopIfTrue="1">
      <formula>IF(AND($BE14&gt;$BE15,ISNUMBER($BE14),ISNUMBER($BE15)),1,0)</formula>
    </cfRule>
  </conditionalFormatting>
  <conditionalFormatting sqref="BE15">
    <cfRule type="expression" dxfId="86" priority="89" stopIfTrue="1">
      <formula>IF(AND($BE14&lt;$BE15,ISNUMBER($BE14),ISNUMBER($BE15)),1,0)</formula>
    </cfRule>
  </conditionalFormatting>
  <conditionalFormatting sqref="BD18">
    <cfRule type="expression" dxfId="85" priority="85" stopIfTrue="1">
      <formula>IF(AND($BD18&gt;$BD19,ISNUMBER($BD18),ISNUMBER($BD19)),1,0)</formula>
    </cfRule>
  </conditionalFormatting>
  <conditionalFormatting sqref="BD19">
    <cfRule type="expression" dxfId="84" priority="86" stopIfTrue="1">
      <formula>IF(AND($BD18&lt;$BD19,ISNUMBER($BD18),ISNUMBER($BD19)),1,0)</formula>
    </cfRule>
  </conditionalFormatting>
  <conditionalFormatting sqref="BF18">
    <cfRule type="expression" dxfId="83" priority="87" stopIfTrue="1">
      <formula>IF(AND($BF18&gt;$BF19,ISNUMBER($BF18),ISNUMBER($BF19)),1,0)</formula>
    </cfRule>
  </conditionalFormatting>
  <conditionalFormatting sqref="BF19">
    <cfRule type="expression" dxfId="82" priority="88" stopIfTrue="1">
      <formula>IF(AND($BF18&lt;$BF19,ISNUMBER($BF18),ISNUMBER($BF19)),1,0)</formula>
    </cfRule>
  </conditionalFormatting>
  <conditionalFormatting sqref="BE18">
    <cfRule type="expression" dxfId="81" priority="84" stopIfTrue="1">
      <formula>IF(AND($BE18&gt;$BE19,ISNUMBER($BE18),ISNUMBER($BE19)),1,0)</formula>
    </cfRule>
  </conditionalFormatting>
  <conditionalFormatting sqref="BE19">
    <cfRule type="expression" dxfId="80" priority="83" stopIfTrue="1">
      <formula>IF(AND($BE18&lt;$BE19,ISNUMBER($BE18),ISNUMBER($BE19)),1,0)</formula>
    </cfRule>
  </conditionalFormatting>
  <conditionalFormatting sqref="BK12">
    <cfRule type="expression" dxfId="79" priority="79" stopIfTrue="1">
      <formula>IF(AND($BD12&gt;$BD13,ISNUMBER($BD12),ISNUMBER($BD13)),1,0)</formula>
    </cfRule>
  </conditionalFormatting>
  <conditionalFormatting sqref="BK13">
    <cfRule type="expression" dxfId="78" priority="80" stopIfTrue="1">
      <formula>IF(AND($BD12&lt;$BD13,ISNUMBER($BD12),ISNUMBER($BD13)),1,0)</formula>
    </cfRule>
  </conditionalFormatting>
  <conditionalFormatting sqref="BM12">
    <cfRule type="expression" dxfId="77" priority="81" stopIfTrue="1">
      <formula>IF(AND($BF12&gt;$BF13,ISNUMBER($BF12),ISNUMBER($BF13)),1,0)</formula>
    </cfRule>
  </conditionalFormatting>
  <conditionalFormatting sqref="BM13">
    <cfRule type="expression" dxfId="76" priority="82" stopIfTrue="1">
      <formula>IF(AND($BF12&lt;$BF13,ISNUMBER($BF12),ISNUMBER($BF13)),1,0)</formula>
    </cfRule>
  </conditionalFormatting>
  <conditionalFormatting sqref="BL12">
    <cfRule type="expression" dxfId="75" priority="78" stopIfTrue="1">
      <formula>IF(AND($BE12&gt;$BE13,ISNUMBER($BE12),ISNUMBER($BE13)),1,0)</formula>
    </cfRule>
  </conditionalFormatting>
  <conditionalFormatting sqref="BL13">
    <cfRule type="expression" dxfId="74" priority="77" stopIfTrue="1">
      <formula>IF(AND($BE12&lt;$BE13,ISNUMBER($BE12),ISNUMBER($BE13)),1,0)</formula>
    </cfRule>
  </conditionalFormatting>
  <conditionalFormatting sqref="BR16">
    <cfRule type="expression" dxfId="73" priority="73" stopIfTrue="1">
      <formula>IF(AND($BD16&gt;$BD17,ISNUMBER($BD16),ISNUMBER($BD17)),1,0)</formula>
    </cfRule>
  </conditionalFormatting>
  <conditionalFormatting sqref="BR17">
    <cfRule type="expression" dxfId="72" priority="74" stopIfTrue="1">
      <formula>IF(AND($BD16&lt;$BD17,ISNUMBER($BD16),ISNUMBER($BD17)),1,0)</formula>
    </cfRule>
  </conditionalFormatting>
  <conditionalFormatting sqref="BT16">
    <cfRule type="expression" dxfId="71" priority="75" stopIfTrue="1">
      <formula>IF(AND($BF16&gt;$BF17,ISNUMBER($BF16),ISNUMBER($BF17)),1,0)</formula>
    </cfRule>
  </conditionalFormatting>
  <conditionalFormatting sqref="BT17">
    <cfRule type="expression" dxfId="70" priority="76" stopIfTrue="1">
      <formula>IF(AND($BF16&lt;$BF17,ISNUMBER($BF16),ISNUMBER($BF17)),1,0)</formula>
    </cfRule>
  </conditionalFormatting>
  <conditionalFormatting sqref="BS16">
    <cfRule type="expression" dxfId="69" priority="72" stopIfTrue="1">
      <formula>IF(AND($BE16&gt;$BE17,ISNUMBER($BE16),ISNUMBER($BE17)),1,0)</formula>
    </cfRule>
  </conditionalFormatting>
  <conditionalFormatting sqref="BS17">
    <cfRule type="expression" dxfId="68" priority="71" stopIfTrue="1">
      <formula>IF(AND($BE16&lt;$BE17,ISNUMBER($BE16),ISNUMBER($BE17)),1,0)</formula>
    </cfRule>
  </conditionalFormatting>
  <conditionalFormatting sqref="BY23">
    <cfRule type="expression" dxfId="67" priority="67" stopIfTrue="1">
      <formula>IF(AND($BD23&gt;$BD24,ISNUMBER($BD23),ISNUMBER($BD24)),1,0)</formula>
    </cfRule>
  </conditionalFormatting>
  <conditionalFormatting sqref="BY24">
    <cfRule type="expression" dxfId="66" priority="68" stopIfTrue="1">
      <formula>IF(AND($BD23&lt;$BD24,ISNUMBER($BD23),ISNUMBER($BD24)),1,0)</formula>
    </cfRule>
  </conditionalFormatting>
  <conditionalFormatting sqref="CA23">
    <cfRule type="expression" dxfId="65" priority="69" stopIfTrue="1">
      <formula>IF(AND($BF23&gt;$BF24,ISNUMBER($BF23),ISNUMBER($BF24)),1,0)</formula>
    </cfRule>
  </conditionalFormatting>
  <conditionalFormatting sqref="CA24">
    <cfRule type="expression" dxfId="64" priority="70" stopIfTrue="1">
      <formula>IF(AND($BF23&lt;$BF24,ISNUMBER($BF23),ISNUMBER($BF24)),1,0)</formula>
    </cfRule>
  </conditionalFormatting>
  <conditionalFormatting sqref="BZ23">
    <cfRule type="expression" dxfId="63" priority="66" stopIfTrue="1">
      <formula>IF(AND($BE23&gt;$BE24,ISNUMBER($BE23),ISNUMBER($BE24)),1,0)</formula>
    </cfRule>
  </conditionalFormatting>
  <conditionalFormatting sqref="BZ24">
    <cfRule type="expression" dxfId="62" priority="65" stopIfTrue="1">
      <formula>IF(AND($BE23&lt;$BE24,ISNUMBER($BE23),ISNUMBER($BE24)),1,0)</formula>
    </cfRule>
  </conditionalFormatting>
  <conditionalFormatting sqref="BK20">
    <cfRule type="expression" dxfId="61" priority="61" stopIfTrue="1">
      <formula>IF(AND($BD20&gt;$BD21,ISNUMBER($BD20),ISNUMBER($BD21)),1,0)</formula>
    </cfRule>
  </conditionalFormatting>
  <conditionalFormatting sqref="BK21">
    <cfRule type="expression" dxfId="60" priority="62" stopIfTrue="1">
      <formula>IF(AND($BD20&lt;$BD21,ISNUMBER($BD20),ISNUMBER($BD21)),1,0)</formula>
    </cfRule>
  </conditionalFormatting>
  <conditionalFormatting sqref="BM20">
    <cfRule type="expression" dxfId="59" priority="63" stopIfTrue="1">
      <formula>IF(AND($BF20&gt;$BF21,ISNUMBER($BF20),ISNUMBER($BF21)),1,0)</formula>
    </cfRule>
  </conditionalFormatting>
  <conditionalFormatting sqref="BM21">
    <cfRule type="expression" dxfId="58" priority="64" stopIfTrue="1">
      <formula>IF(AND($BF20&lt;$BF21,ISNUMBER($BF20),ISNUMBER($BF21)),1,0)</formula>
    </cfRule>
  </conditionalFormatting>
  <conditionalFormatting sqref="BL20">
    <cfRule type="expression" dxfId="57" priority="60" stopIfTrue="1">
      <formula>IF(AND($BE20&gt;$BE21,ISNUMBER($BE20),ISNUMBER($BE21)),1,0)</formula>
    </cfRule>
  </conditionalFormatting>
  <conditionalFormatting sqref="BL21">
    <cfRule type="expression" dxfId="56" priority="59" stopIfTrue="1">
      <formula>IF(AND($BE20&lt;$BE21,ISNUMBER($BE20),ISNUMBER($BE21)),1,0)</formula>
    </cfRule>
  </conditionalFormatting>
  <conditionalFormatting sqref="BK28">
    <cfRule type="expression" dxfId="55" priority="55" stopIfTrue="1">
      <formula>IF(AND($BD28&gt;$BD29,ISNUMBER($BD28),ISNUMBER($BD29)),1,0)</formula>
    </cfRule>
  </conditionalFormatting>
  <conditionalFormatting sqref="BK29">
    <cfRule type="expression" dxfId="54" priority="56" stopIfTrue="1">
      <formula>IF(AND($BD28&lt;$BD29,ISNUMBER($BD28),ISNUMBER($BD29)),1,0)</formula>
    </cfRule>
  </conditionalFormatting>
  <conditionalFormatting sqref="BM28">
    <cfRule type="expression" dxfId="53" priority="57" stopIfTrue="1">
      <formula>IF(AND($BF28&gt;$BF29,ISNUMBER($BF28),ISNUMBER($BF29)),1,0)</formula>
    </cfRule>
  </conditionalFormatting>
  <conditionalFormatting sqref="BM29">
    <cfRule type="expression" dxfId="52" priority="58" stopIfTrue="1">
      <formula>IF(AND($BF28&lt;$BF29,ISNUMBER($BF28),ISNUMBER($BF29)),1,0)</formula>
    </cfRule>
  </conditionalFormatting>
  <conditionalFormatting sqref="BL28">
    <cfRule type="expression" dxfId="51" priority="54" stopIfTrue="1">
      <formula>IF(AND($BE28&gt;$BE29,ISNUMBER($BE28),ISNUMBER($BE29)),1,0)</formula>
    </cfRule>
  </conditionalFormatting>
  <conditionalFormatting sqref="BL29">
    <cfRule type="expression" dxfId="50" priority="53" stopIfTrue="1">
      <formula>IF(AND($BE28&lt;$BE29,ISNUMBER($BE28),ISNUMBER($BE29)),1,0)</formula>
    </cfRule>
  </conditionalFormatting>
  <conditionalFormatting sqref="BD22">
    <cfRule type="expression" dxfId="49" priority="49" stopIfTrue="1">
      <formula>IF(AND($BD22&gt;$BD23,ISNUMBER($BD22),ISNUMBER($BD23)),1,0)</formula>
    </cfRule>
  </conditionalFormatting>
  <conditionalFormatting sqref="BD23">
    <cfRule type="expression" dxfId="48" priority="50" stopIfTrue="1">
      <formula>IF(AND($BD22&lt;$BD23,ISNUMBER($BD22),ISNUMBER($BD23)),1,0)</formula>
    </cfRule>
  </conditionalFormatting>
  <conditionalFormatting sqref="BF22">
    <cfRule type="expression" dxfId="47" priority="51" stopIfTrue="1">
      <formula>IF(AND($BF22&gt;$BF23,ISNUMBER($BF22),ISNUMBER($BF23)),1,0)</formula>
    </cfRule>
  </conditionalFormatting>
  <conditionalFormatting sqref="BF23">
    <cfRule type="expression" dxfId="46" priority="52" stopIfTrue="1">
      <formula>IF(AND($BF22&lt;$BF23,ISNUMBER($BF22),ISNUMBER($BF23)),1,0)</formula>
    </cfRule>
  </conditionalFormatting>
  <conditionalFormatting sqref="BE22">
    <cfRule type="expression" dxfId="45" priority="48" stopIfTrue="1">
      <formula>IF(AND($BE22&gt;$BE23,ISNUMBER($BE22),ISNUMBER($BE23)),1,0)</formula>
    </cfRule>
  </conditionalFormatting>
  <conditionalFormatting sqref="BE23">
    <cfRule type="expression" dxfId="44" priority="47" stopIfTrue="1">
      <formula>IF(AND($BE22&lt;$BE23,ISNUMBER($BE22),ISNUMBER($BE23)),1,0)</formula>
    </cfRule>
  </conditionalFormatting>
  <conditionalFormatting sqref="BD26">
    <cfRule type="expression" dxfId="43" priority="43" stopIfTrue="1">
      <formula>IF(AND($BD26&gt;$BD27,ISNUMBER($BD26),ISNUMBER($BD27)),1,0)</formula>
    </cfRule>
  </conditionalFormatting>
  <conditionalFormatting sqref="BD27">
    <cfRule type="expression" dxfId="42" priority="44" stopIfTrue="1">
      <formula>IF(AND($BD26&lt;$BD27,ISNUMBER($BD26),ISNUMBER($BD27)),1,0)</formula>
    </cfRule>
  </conditionalFormatting>
  <conditionalFormatting sqref="BF26">
    <cfRule type="expression" dxfId="41" priority="45" stopIfTrue="1">
      <formula>IF(AND($BF26&gt;$BF27,ISNUMBER($BF26),ISNUMBER($BF27)),1,0)</formula>
    </cfRule>
  </conditionalFormatting>
  <conditionalFormatting sqref="BF27">
    <cfRule type="expression" dxfId="40" priority="46" stopIfTrue="1">
      <formula>IF(AND($BF26&lt;$BF27,ISNUMBER($BF26),ISNUMBER($BF27)),1,0)</formula>
    </cfRule>
  </conditionalFormatting>
  <conditionalFormatting sqref="BE26">
    <cfRule type="expression" dxfId="39" priority="42" stopIfTrue="1">
      <formula>IF(AND($BE26&gt;$BE27,ISNUMBER($BE26),ISNUMBER($BE27)),1,0)</formula>
    </cfRule>
  </conditionalFormatting>
  <conditionalFormatting sqref="BE27">
    <cfRule type="expression" dxfId="38" priority="41" stopIfTrue="1">
      <formula>IF(AND($BE26&lt;$BE27,ISNUMBER($BE26),ISNUMBER($BE27)),1,0)</formula>
    </cfRule>
  </conditionalFormatting>
  <conditionalFormatting sqref="BY35">
    <cfRule type="expression" dxfId="37" priority="37" stopIfTrue="1">
      <formula>IF(AND($BD35&gt;$BD36,ISNUMBER($BD35),ISNUMBER($BD36)),1,0)</formula>
    </cfRule>
  </conditionalFormatting>
  <conditionalFormatting sqref="BY36">
    <cfRule type="expression" dxfId="36" priority="38" stopIfTrue="1">
      <formula>IF(AND($BD35&lt;$BD36,ISNUMBER($BD35),ISNUMBER($BD36)),1,0)</formula>
    </cfRule>
  </conditionalFormatting>
  <conditionalFormatting sqref="CA35">
    <cfRule type="expression" dxfId="35" priority="39" stopIfTrue="1">
      <formula>IF(AND($BF35&gt;$BF36,ISNUMBER($BF35),ISNUMBER($BF36)),1,0)</formula>
    </cfRule>
  </conditionalFormatting>
  <conditionalFormatting sqref="CA36">
    <cfRule type="expression" dxfId="34" priority="40" stopIfTrue="1">
      <formula>IF(AND($BF35&lt;$BF36,ISNUMBER($BF35),ISNUMBER($BF36)),1,0)</formula>
    </cfRule>
  </conditionalFormatting>
  <conditionalFormatting sqref="BZ35">
    <cfRule type="expression" dxfId="33" priority="36" stopIfTrue="1">
      <formula>IF(AND($BE35&gt;$BE36,ISNUMBER($BE35),ISNUMBER($BE36)),1,0)</formula>
    </cfRule>
  </conditionalFormatting>
  <conditionalFormatting sqref="BZ36">
    <cfRule type="expression" dxfId="32" priority="35" stopIfTrue="1">
      <formula>IF(AND($BE35&lt;$BE36,ISNUMBER($BE35),ISNUMBER($BE36)),1,0)</formula>
    </cfRule>
  </conditionalFormatting>
  <conditionalFormatting sqref="BR32">
    <cfRule type="expression" dxfId="31" priority="31" stopIfTrue="1">
      <formula>IF(AND($BD32&gt;$BD33,ISNUMBER($BD32),ISNUMBER($BD33)),1,0)</formula>
    </cfRule>
  </conditionalFormatting>
  <conditionalFormatting sqref="BR33">
    <cfRule type="expression" dxfId="30" priority="32" stopIfTrue="1">
      <formula>IF(AND($BD32&lt;$BD33,ISNUMBER($BD32),ISNUMBER($BD33)),1,0)</formula>
    </cfRule>
  </conditionalFormatting>
  <conditionalFormatting sqref="BT32">
    <cfRule type="expression" dxfId="29" priority="33" stopIfTrue="1">
      <formula>IF(AND($BF32&gt;$BF33,ISNUMBER($BF32),ISNUMBER($BF33)),1,0)</formula>
    </cfRule>
  </conditionalFormatting>
  <conditionalFormatting sqref="BT33">
    <cfRule type="expression" dxfId="28" priority="34" stopIfTrue="1">
      <formula>IF(AND($BF32&lt;$BF33,ISNUMBER($BF32),ISNUMBER($BF33)),1,0)</formula>
    </cfRule>
  </conditionalFormatting>
  <conditionalFormatting sqref="BS32">
    <cfRule type="expression" dxfId="27" priority="30" stopIfTrue="1">
      <formula>IF(AND($BE32&gt;$BE33,ISNUMBER($BE32),ISNUMBER($BE33)),1,0)</formula>
    </cfRule>
  </conditionalFormatting>
  <conditionalFormatting sqref="BS33">
    <cfRule type="expression" dxfId="26" priority="29" stopIfTrue="1">
      <formula>IF(AND($BE32&lt;$BE33,ISNUMBER($BE32),ISNUMBER($BE33)),1,0)</formula>
    </cfRule>
  </conditionalFormatting>
  <conditionalFormatting sqref="BK36">
    <cfRule type="expression" dxfId="25" priority="25" stopIfTrue="1">
      <formula>IF(AND($BD36&gt;$BD37,ISNUMBER($BD36),ISNUMBER($BD37)),1,0)</formula>
    </cfRule>
  </conditionalFormatting>
  <conditionalFormatting sqref="BK37">
    <cfRule type="expression" dxfId="24" priority="26" stopIfTrue="1">
      <formula>IF(AND($BD36&lt;$BD37,ISNUMBER($BD36),ISNUMBER($BD37)),1,0)</formula>
    </cfRule>
  </conditionalFormatting>
  <conditionalFormatting sqref="BM36">
    <cfRule type="expression" dxfId="23" priority="27" stopIfTrue="1">
      <formula>IF(AND($BF36&gt;$BF37,ISNUMBER($BF36),ISNUMBER($BF37)),1,0)</formula>
    </cfRule>
  </conditionalFormatting>
  <conditionalFormatting sqref="BM37">
    <cfRule type="expression" dxfId="22" priority="28" stopIfTrue="1">
      <formula>IF(AND($BF36&lt;$BF37,ISNUMBER($BF36),ISNUMBER($BF37)),1,0)</formula>
    </cfRule>
  </conditionalFormatting>
  <conditionalFormatting sqref="BL36">
    <cfRule type="expression" dxfId="21" priority="24" stopIfTrue="1">
      <formula>IF(AND($BE36&gt;$BE37,ISNUMBER($BE36),ISNUMBER($BE37)),1,0)</formula>
    </cfRule>
  </conditionalFormatting>
  <conditionalFormatting sqref="BL37">
    <cfRule type="expression" dxfId="20" priority="23" stopIfTrue="1">
      <formula>IF(AND($BE36&lt;$BE37,ISNUMBER($BE36),ISNUMBER($BE37)),1,0)</formula>
    </cfRule>
  </conditionalFormatting>
  <conditionalFormatting sqref="BD38">
    <cfRule type="expression" dxfId="19" priority="19" stopIfTrue="1">
      <formula>IF(AND($BD38&gt;$BD39,ISNUMBER($BD38),ISNUMBER($BD39)),1,0)</formula>
    </cfRule>
  </conditionalFormatting>
  <conditionalFormatting sqref="BD39">
    <cfRule type="expression" dxfId="18" priority="20" stopIfTrue="1">
      <formula>IF(AND($BD38&lt;$BD39,ISNUMBER($BD38),ISNUMBER($BD39)),1,0)</formula>
    </cfRule>
  </conditionalFormatting>
  <conditionalFormatting sqref="BF38">
    <cfRule type="expression" dxfId="17" priority="21" stopIfTrue="1">
      <formula>IF(AND($BF38&gt;$BF39,ISNUMBER($BF38),ISNUMBER($BF39)),1,0)</formula>
    </cfRule>
  </conditionalFormatting>
  <conditionalFormatting sqref="BF39">
    <cfRule type="expression" dxfId="16" priority="22" stopIfTrue="1">
      <formula>IF(AND($BF38&lt;$BF39,ISNUMBER($BF38),ISNUMBER($BF39)),1,0)</formula>
    </cfRule>
  </conditionalFormatting>
  <conditionalFormatting sqref="BE38">
    <cfRule type="expression" dxfId="15" priority="18" stopIfTrue="1">
      <formula>IF(AND($BE38&gt;$BE39,ISNUMBER($BE38),ISNUMBER($BE39)),1,0)</formula>
    </cfRule>
  </conditionalFormatting>
  <conditionalFormatting sqref="BE39">
    <cfRule type="expression" dxfId="14" priority="17" stopIfTrue="1">
      <formula>IF(AND($BE38&lt;$BE39,ISNUMBER($BE38),ISNUMBER($BE39)),1,0)</formula>
    </cfRule>
  </conditionalFormatting>
  <conditionalFormatting sqref="BD34">
    <cfRule type="expression" dxfId="13" priority="13" stopIfTrue="1">
      <formula>IF(AND($BD34&gt;$BD35,ISNUMBER($BD34),ISNUMBER($BD35)),1,0)</formula>
    </cfRule>
  </conditionalFormatting>
  <conditionalFormatting sqref="BD35">
    <cfRule type="expression" dxfId="12" priority="14" stopIfTrue="1">
      <formula>IF(AND($BD34&lt;$BD35,ISNUMBER($BD34),ISNUMBER($BD35)),1,0)</formula>
    </cfRule>
  </conditionalFormatting>
  <conditionalFormatting sqref="BF34">
    <cfRule type="expression" dxfId="11" priority="15" stopIfTrue="1">
      <formula>IF(AND($BF34&gt;$BF35,ISNUMBER($BF34),ISNUMBER($BF35)),1,0)</formula>
    </cfRule>
  </conditionalFormatting>
  <conditionalFormatting sqref="BF35">
    <cfRule type="expression" dxfId="10" priority="16" stopIfTrue="1">
      <formula>IF(AND($BF34&lt;$BF35,ISNUMBER($BF34),ISNUMBER($BF35)),1,0)</formula>
    </cfRule>
  </conditionalFormatting>
  <conditionalFormatting sqref="BE34">
    <cfRule type="expression" dxfId="9" priority="12" stopIfTrue="1">
      <formula>IF(AND($BE34&gt;$BE35,ISNUMBER($BE34),ISNUMBER($BE35)),1,0)</formula>
    </cfRule>
  </conditionalFormatting>
  <conditionalFormatting sqref="BE35">
    <cfRule type="expression" dxfId="8" priority="11" stopIfTrue="1">
      <formula>IF(AND($BE34&lt;$BE35,ISNUMBER($BE34),ISNUMBER($BE35)),1,0)</formula>
    </cfRule>
  </conditionalFormatting>
  <conditionalFormatting sqref="BD30">
    <cfRule type="expression" dxfId="7" priority="7" stopIfTrue="1">
      <formula>IF(AND($BD30&gt;$BD31,ISNUMBER($BD30),ISNUMBER($BD31)),1,0)</formula>
    </cfRule>
  </conditionalFormatting>
  <conditionalFormatting sqref="BD31">
    <cfRule type="expression" dxfId="6" priority="8" stopIfTrue="1">
      <formula>IF(AND($BD30&lt;$BD31,ISNUMBER($BD30),ISNUMBER($BD31)),1,0)</formula>
    </cfRule>
  </conditionalFormatting>
  <conditionalFormatting sqref="BF30">
    <cfRule type="expression" dxfId="5" priority="9" stopIfTrue="1">
      <formula>IF(AND($BF30&gt;$BF31,ISNUMBER($BF30),ISNUMBER($BF31)),1,0)</formula>
    </cfRule>
  </conditionalFormatting>
  <conditionalFormatting sqref="BF31">
    <cfRule type="expression" dxfId="4" priority="10" stopIfTrue="1">
      <formula>IF(AND($BF30&lt;$BF31,ISNUMBER($BF30),ISNUMBER($BF31)),1,0)</formula>
    </cfRule>
  </conditionalFormatting>
  <conditionalFormatting sqref="BE30">
    <cfRule type="expression" dxfId="3" priority="6" stopIfTrue="1">
      <formula>IF(AND($BE30&gt;$BE31,ISNUMBER($BE30),ISNUMBER($BE31)),1,0)</formula>
    </cfRule>
  </conditionalFormatting>
  <conditionalFormatting sqref="BE31">
    <cfRule type="expression" dxfId="2" priority="5" stopIfTrue="1">
      <formula>IF(AND($BE30&lt;$BE31,ISNUMBER($BE30),ISNUMBER($BE31)),1,0)</formula>
    </cfRule>
  </conditionalFormatting>
  <conditionalFormatting sqref="F7:F44">
    <cfRule type="expression" dxfId="1" priority="1" stopIfTrue="1">
      <formula>IF(AND($F7&gt;$G7,ISNUMBER($F7),ISNUMBER($G7)),1,0)</formula>
    </cfRule>
  </conditionalFormatting>
  <conditionalFormatting sqref="G7:G44">
    <cfRule type="expression" dxfId="0" priority="2" stopIfTrue="1">
      <formula>IF(AND($F7&lt;$G7,ISNUMBER($F7),ISNUMBER($G7)),1,0)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D10:BD11 BD14:BD15 BD18:BD19 BD22:BD23 BD26:BD27 BD30:BD31 BD34:BD35 BD38:BD39 BK12:BK13 BK20:BK21 BK28:BK29 BK36:BK37 BR32:BR33 BR16:BR17 BY35:BY36 BY23:BY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E10:BE11 BE14:BE15 BE18:BE19 BE22:BE23 BE26:BE27 BE30:BE31 BE34:BE35 BE38:BE39 BL12:BL13 BL20:BL21 BL28:BL29 BL36:BL37 BS16:BS17 BS32:BS33 BZ23:BZ24 BZ35:BZ36" xr:uid="{00000000-0002-0000-0200-000002000000}">
      <formula1>"0,1,2,3,4,5"</formula1>
    </dataValidation>
    <dataValidation type="list" allowBlank="1" showInputMessage="1" showErrorMessage="1" promptTitle="Match result" prompt="Penalties" sqref="BF10:BF11 BF14:BF15 BF18:BF19 BF22:BF23 BF26:BF27 BF30:BF31 BF34:BF35 BF38:BF39 BM36:BM37 BM28:BM29 BM20:BM21 BM12:BM13 BT16:BT17 BT32:BT33 CA23:CA24 CA35:CA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BB46:BF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</vt:lpstr>
      <vt:lpstr>Settings</vt:lpstr>
      <vt:lpstr>2018 World Cup</vt:lpstr>
      <vt:lpstr>db_fifarank</vt:lpstr>
      <vt:lpstr>fair_play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Rich Newman</cp:lastModifiedBy>
  <cp:lastPrinted>2018-01-03T15:36:04Z</cp:lastPrinted>
  <dcterms:created xsi:type="dcterms:W3CDTF">2017-12-27T19:32:51Z</dcterms:created>
  <dcterms:modified xsi:type="dcterms:W3CDTF">2018-07-16T18:41:36Z</dcterms:modified>
</cp:coreProperties>
</file>