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b\"/>
    </mc:Choice>
  </mc:AlternateContent>
  <xr:revisionPtr revIDLastSave="0" documentId="10_ncr:8100000_{11C310DD-3CEF-42E1-95D5-A011C0D3AA8B}" xr6:coauthVersionLast="33" xr6:coauthVersionMax="33" xr10:uidLastSave="{00000000-0000-0000-0000-000000000000}"/>
  <bookViews>
    <workbookView xWindow="0" yWindow="0" windowWidth="24000" windowHeight="9525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3" l="1"/>
  <c r="AO10" i="3"/>
  <c r="AO11" i="3"/>
  <c r="AO14" i="3"/>
  <c r="AO15" i="3"/>
  <c r="AO16" i="3"/>
  <c r="AO17" i="3"/>
  <c r="AO20" i="3"/>
  <c r="AO21" i="3"/>
  <c r="AO22" i="3"/>
  <c r="AO23" i="3"/>
  <c r="AO26" i="3"/>
  <c r="AO27" i="3"/>
  <c r="AO28" i="3"/>
  <c r="AO29" i="3"/>
  <c r="AO32" i="3"/>
  <c r="AO33" i="3"/>
  <c r="AO34" i="3"/>
  <c r="AO35" i="3"/>
  <c r="AO38" i="3"/>
  <c r="AO39" i="3"/>
  <c r="AO40" i="3"/>
  <c r="AO41" i="3"/>
  <c r="AO44" i="3"/>
  <c r="AO45" i="3"/>
  <c r="AO46" i="3"/>
  <c r="AO47" i="3"/>
  <c r="AO50" i="3"/>
  <c r="AO51" i="3"/>
  <c r="AO52" i="3"/>
  <c r="AO53" i="3"/>
  <c r="AP45" i="3" l="1"/>
  <c r="AP44" i="3"/>
  <c r="AP32" i="3"/>
  <c r="AP20" i="3"/>
  <c r="AP40" i="3"/>
  <c r="AP16" i="3"/>
  <c r="AP27" i="3"/>
  <c r="AP52" i="3"/>
  <c r="AP28" i="3"/>
  <c r="AP51" i="3"/>
  <c r="AP15" i="3"/>
  <c r="AP53" i="3"/>
  <c r="AP41" i="3"/>
  <c r="AP29" i="3"/>
  <c r="AP17" i="3"/>
  <c r="AP50" i="3"/>
  <c r="AP38" i="3"/>
  <c r="AP26" i="3"/>
  <c r="AP14" i="3"/>
  <c r="AP47" i="3"/>
  <c r="AP23" i="3"/>
  <c r="AP39" i="3"/>
  <c r="AP35" i="3"/>
  <c r="AP46" i="3"/>
  <c r="AP34" i="3"/>
  <c r="AP22" i="3"/>
  <c r="AP33" i="3"/>
  <c r="AP21" i="3"/>
  <c r="AO8" i="3"/>
  <c r="AP8" i="3" s="1"/>
  <c r="AP11" i="3" l="1"/>
  <c r="AP10" i="3"/>
  <c r="AP9" i="3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T81" i="3" l="1"/>
  <c r="U77" i="3" l="1"/>
  <c r="U76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M44" i="3" s="1"/>
  <c r="AB52" i="3"/>
  <c r="R15" i="2"/>
  <c r="J14" i="3"/>
  <c r="K32" i="3"/>
  <c r="K14" i="3"/>
  <c r="M20" i="3"/>
  <c r="J26" i="3"/>
  <c r="L32" i="3"/>
  <c r="BO41" i="3"/>
  <c r="J50" i="3"/>
  <c r="AB10" i="3"/>
  <c r="AB22" i="3"/>
  <c r="AB34" i="3"/>
  <c r="AB45" i="3"/>
  <c r="J8" i="3"/>
  <c r="L14" i="3"/>
  <c r="K26" i="3"/>
  <c r="M32" i="3"/>
  <c r="J38" i="3"/>
  <c r="J44" i="3"/>
  <c r="AB11" i="3"/>
  <c r="AB23" i="3"/>
  <c r="AM23" i="3" s="1"/>
  <c r="AB35" i="3"/>
  <c r="AB46" i="3"/>
  <c r="K8" i="3"/>
  <c r="M14" i="3"/>
  <c r="O20" i="3"/>
  <c r="L26" i="3"/>
  <c r="N32" i="3"/>
  <c r="K38" i="3"/>
  <c r="K44" i="3"/>
  <c r="L50" i="3"/>
  <c r="AB14" i="3"/>
  <c r="AM14" i="3" s="1"/>
  <c r="AB26" i="3"/>
  <c r="AM26" i="3" s="1"/>
  <c r="AB38" i="3"/>
  <c r="AM38" i="3" s="1"/>
  <c r="AB47" i="3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B39" i="3"/>
  <c r="AB50" i="3"/>
  <c r="BB6" i="3"/>
  <c r="M8" i="3"/>
  <c r="O14" i="3"/>
  <c r="N26" i="3"/>
  <c r="P32" i="3"/>
  <c r="M38" i="3"/>
  <c r="M44" i="3"/>
  <c r="N50" i="3"/>
  <c r="AB16" i="3"/>
  <c r="AB28" i="3"/>
  <c r="AM28" i="3" s="1"/>
  <c r="AB40" i="3"/>
  <c r="AB51" i="3"/>
  <c r="BI6" i="3"/>
  <c r="N8" i="3"/>
  <c r="P14" i="3"/>
  <c r="J20" i="3"/>
  <c r="O26" i="3"/>
  <c r="BW31" i="3"/>
  <c r="N38" i="3"/>
  <c r="N44" i="3"/>
  <c r="O50" i="3"/>
  <c r="AB17" i="3"/>
  <c r="AB29" i="3"/>
  <c r="AB41" i="3"/>
  <c r="AM41" i="3" s="1"/>
  <c r="A1" i="3"/>
  <c r="BP6" i="3"/>
  <c r="O8" i="3"/>
  <c r="K20" i="3"/>
  <c r="P26" i="3"/>
  <c r="J32" i="3"/>
  <c r="O38" i="3"/>
  <c r="O44" i="3"/>
  <c r="P50" i="3"/>
  <c r="AB8" i="3"/>
  <c r="AB20" i="3"/>
  <c r="AB32" i="3"/>
  <c r="AB53" i="3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H10" i="3" l="1"/>
  <c r="AM17" i="3"/>
  <c r="E53" i="3"/>
  <c r="AM53" i="3"/>
  <c r="AM15" i="3"/>
  <c r="AM46" i="3"/>
  <c r="E19" i="3"/>
  <c r="S19" i="3" s="1"/>
  <c r="H13" i="3"/>
  <c r="AM27" i="3"/>
  <c r="AN26" i="3" s="1"/>
  <c r="E15" i="3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X10" i="3" s="1"/>
  <c r="AM16" i="3"/>
  <c r="H20" i="3"/>
  <c r="AM47" i="3"/>
  <c r="H44" i="3"/>
  <c r="AM22" i="3"/>
  <c r="H37" i="3"/>
  <c r="AM52" i="3"/>
  <c r="H53" i="3"/>
  <c r="X53" i="3" s="1"/>
  <c r="AM50" i="3"/>
  <c r="E8" i="3"/>
  <c r="AM10" i="3"/>
  <c r="AN10" i="3" s="1"/>
  <c r="AM29" i="3"/>
  <c r="H17" i="3"/>
  <c r="AM39" i="3"/>
  <c r="AN39" i="3" s="1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E27" i="3"/>
  <c r="S27" i="3" s="1"/>
  <c r="E11" i="3"/>
  <c r="S11" i="3" s="1"/>
  <c r="T11" i="3" s="1"/>
  <c r="H24" i="3"/>
  <c r="H7" i="3"/>
  <c r="E35" i="3"/>
  <c r="S35" i="3" s="1"/>
  <c r="S52" i="3"/>
  <c r="S15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S8" i="3"/>
  <c r="AN38" i="3" l="1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A9" i="3" s="1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51" i="3"/>
  <c r="AA52" i="3"/>
  <c r="AA35" i="3"/>
  <c r="AA10" i="3" l="1"/>
  <c r="AA22" i="3"/>
  <c r="AA44" i="3"/>
  <c r="AA29" i="3"/>
  <c r="AA11" i="3"/>
  <c r="AA23" i="3"/>
  <c r="AA45" i="3"/>
  <c r="O48" i="3" s="1"/>
  <c r="AA40" i="3"/>
  <c r="AA39" i="3"/>
  <c r="L42" i="3" s="1"/>
  <c r="AA26" i="3"/>
  <c r="L30" i="3" s="1"/>
  <c r="AA20" i="3"/>
  <c r="AA38" i="3"/>
  <c r="AA21" i="3"/>
  <c r="L22" i="3" s="1"/>
  <c r="AA17" i="3"/>
  <c r="AA27" i="3"/>
  <c r="J29" i="3" s="1"/>
  <c r="AA16" i="3"/>
  <c r="AA8" i="3"/>
  <c r="AA34" i="3"/>
  <c r="L36" i="3" s="1"/>
  <c r="AA28" i="3"/>
  <c r="AA14" i="3"/>
  <c r="AA33" i="3"/>
  <c r="M34" i="3" s="1"/>
  <c r="AA46" i="3"/>
  <c r="AA15" i="3"/>
  <c r="O17" i="3" s="1"/>
  <c r="L51" i="3"/>
  <c r="L52" i="3"/>
  <c r="J51" i="3"/>
  <c r="AR50" i="3" s="1"/>
  <c r="BC38" i="3" s="1"/>
  <c r="M52" i="3"/>
  <c r="J52" i="3"/>
  <c r="AR51" i="3" s="1"/>
  <c r="BC23" i="3" s="1"/>
  <c r="O51" i="3"/>
  <c r="N51" i="3"/>
  <c r="O2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L46" i="3"/>
  <c r="O46" i="3"/>
  <c r="N21" i="3"/>
  <c r="J24" i="3"/>
  <c r="O24" i="3"/>
  <c r="M23" i="3"/>
  <c r="O23" i="3"/>
  <c r="M46" i="3"/>
  <c r="N46" i="3"/>
  <c r="M22" i="3"/>
  <c r="N22" i="3"/>
  <c r="M21" i="3"/>
  <c r="J23" i="3"/>
  <c r="L23" i="3"/>
  <c r="J22" i="3"/>
  <c r="AR21" i="3" s="1"/>
  <c r="BC31" i="3" s="1"/>
  <c r="J21" i="3"/>
  <c r="AR20" i="3" s="1"/>
  <c r="BC14" i="3" s="1"/>
  <c r="S59" i="3" s="1"/>
  <c r="T59" i="3" s="1"/>
  <c r="BJ13" i="3" s="1"/>
  <c r="O22" i="3"/>
  <c r="L21" i="3"/>
  <c r="J46" i="3"/>
  <c r="AR45" i="3" s="1"/>
  <c r="BC39" i="3" s="1"/>
  <c r="M48" i="3"/>
  <c r="O33" i="3"/>
  <c r="N33" i="3"/>
  <c r="M33" i="3"/>
  <c r="N36" i="3"/>
  <c r="L33" i="3"/>
  <c r="J33" i="3"/>
  <c r="AR32" i="3" s="1"/>
  <c r="BC18" i="3" s="1"/>
  <c r="S62" i="3" s="1"/>
  <c r="T62" i="3" s="1"/>
  <c r="BJ20" i="3" s="1"/>
  <c r="M40" i="3"/>
  <c r="M39" i="3"/>
  <c r="O41" i="3"/>
  <c r="L40" i="3"/>
  <c r="L39" i="3"/>
  <c r="J40" i="3"/>
  <c r="AR39" i="3" s="1"/>
  <c r="BC19" i="3" s="1"/>
  <c r="N42" i="3"/>
  <c r="L41" i="3"/>
  <c r="J41" i="3"/>
  <c r="N40" i="3"/>
  <c r="O40" i="3"/>
  <c r="O39" i="3"/>
  <c r="M10" i="3"/>
  <c r="N12" i="3"/>
  <c r="L10" i="3"/>
  <c r="O12" i="3"/>
  <c r="M11" i="3"/>
  <c r="J48" i="3" l="1"/>
  <c r="N29" i="3"/>
  <c r="N24" i="3"/>
  <c r="N23" i="3"/>
  <c r="O15" i="3"/>
  <c r="J47" i="3"/>
  <c r="L48" i="3"/>
  <c r="P48" i="3" s="1"/>
  <c r="L15" i="3"/>
  <c r="N18" i="3"/>
  <c r="L24" i="3"/>
  <c r="J18" i="3"/>
  <c r="N27" i="3"/>
  <c r="M24" i="3"/>
  <c r="N48" i="3"/>
  <c r="J9" i="3"/>
  <c r="AR8" i="3" s="1"/>
  <c r="BC10" i="3" s="1"/>
  <c r="O28" i="3"/>
  <c r="L12" i="3"/>
  <c r="L9" i="3"/>
  <c r="J39" i="3"/>
  <c r="AR38" i="3" s="1"/>
  <c r="BC34" i="3" s="1"/>
  <c r="S64" i="3" s="1"/>
  <c r="J30" i="3"/>
  <c r="M29" i="3"/>
  <c r="K29" i="3" s="1"/>
  <c r="O27" i="3"/>
  <c r="O35" i="3"/>
  <c r="M27" i="3"/>
  <c r="M41" i="3"/>
  <c r="N30" i="3"/>
  <c r="N28" i="3"/>
  <c r="O9" i="3"/>
  <c r="O30" i="3"/>
  <c r="N11" i="3"/>
  <c r="K11" i="3" s="1"/>
  <c r="J11" i="3"/>
  <c r="N41" i="3"/>
  <c r="O29" i="3"/>
  <c r="L29" i="3"/>
  <c r="N9" i="3"/>
  <c r="L17" i="3"/>
  <c r="N10" i="3"/>
  <c r="K10" i="3" s="1"/>
  <c r="N39" i="3"/>
  <c r="J12" i="3"/>
  <c r="M42" i="3"/>
  <c r="L11" i="3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K28" i="3" s="1"/>
  <c r="N17" i="3"/>
  <c r="O18" i="3"/>
  <c r="M47" i="3"/>
  <c r="M36" i="3"/>
  <c r="K36" i="3" s="1"/>
  <c r="L45" i="3"/>
  <c r="N16" i="3"/>
  <c r="N15" i="3"/>
  <c r="L34" i="3"/>
  <c r="P34" i="3" s="1"/>
  <c r="O36" i="3"/>
  <c r="L27" i="3"/>
  <c r="P27" i="3" s="1"/>
  <c r="J27" i="3"/>
  <c r="AR26" i="3" s="1"/>
  <c r="BC30" i="3" s="1"/>
  <c r="S61" i="3" s="1"/>
  <c r="T61" i="3" s="1"/>
  <c r="BJ29" i="3" s="1"/>
  <c r="O45" i="3"/>
  <c r="J17" i="3"/>
  <c r="M17" i="3"/>
  <c r="P17" i="3" s="1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L35" i="3"/>
  <c r="N34" i="3"/>
  <c r="L47" i="3"/>
  <c r="P47" i="3" s="1"/>
  <c r="L18" i="3"/>
  <c r="M45" i="3"/>
  <c r="N35" i="3"/>
  <c r="O34" i="3"/>
  <c r="N47" i="3"/>
  <c r="O47" i="3"/>
  <c r="J15" i="3"/>
  <c r="AR14" i="3" s="1"/>
  <c r="BC26" i="3" s="1"/>
  <c r="S60" i="3" s="1"/>
  <c r="T60" i="3" s="1"/>
  <c r="BJ28" i="3" s="1"/>
  <c r="M16" i="3"/>
  <c r="P16" i="3" s="1"/>
  <c r="M15" i="3"/>
  <c r="P15" i="3" s="1"/>
  <c r="M18" i="3"/>
  <c r="L16" i="3"/>
  <c r="S69" i="3"/>
  <c r="T69" i="3" s="1"/>
  <c r="BQ16" i="3" s="1"/>
  <c r="S71" i="3"/>
  <c r="T71" i="3" s="1"/>
  <c r="BQ32" i="3" s="1"/>
  <c r="S70" i="3"/>
  <c r="T70" i="3" s="1"/>
  <c r="BQ17" i="3" s="1"/>
  <c r="S65" i="3"/>
  <c r="T65" i="3" s="1"/>
  <c r="BJ37" i="3" s="1"/>
  <c r="S72" i="3" s="1"/>
  <c r="T72" i="3" s="1"/>
  <c r="BQ33" i="3" s="1"/>
  <c r="S77" i="3" s="1"/>
  <c r="T77" i="3" s="1"/>
  <c r="BX24" i="3" s="1"/>
  <c r="T64" i="3"/>
  <c r="BJ36" i="3" s="1"/>
  <c r="P52" i="3"/>
  <c r="K52" i="3"/>
  <c r="P51" i="3"/>
  <c r="K51" i="3"/>
  <c r="P9" i="3"/>
  <c r="P54" i="3"/>
  <c r="K54" i="3"/>
  <c r="K9" i="3"/>
  <c r="P46" i="3"/>
  <c r="P53" i="3"/>
  <c r="K53" i="3"/>
  <c r="K46" i="3"/>
  <c r="K22" i="3"/>
  <c r="P22" i="3"/>
  <c r="P21" i="3"/>
  <c r="K21" i="3"/>
  <c r="P23" i="3"/>
  <c r="K23" i="3"/>
  <c r="K30" i="3"/>
  <c r="P24" i="3"/>
  <c r="K24" i="3"/>
  <c r="P30" i="3"/>
  <c r="K12" i="3"/>
  <c r="P10" i="3"/>
  <c r="K39" i="3"/>
  <c r="P39" i="3"/>
  <c r="P36" i="3"/>
  <c r="K42" i="3"/>
  <c r="P42" i="3"/>
  <c r="K40" i="3"/>
  <c r="P40" i="3"/>
  <c r="P33" i="3"/>
  <c r="K33" i="3"/>
  <c r="K41" i="3"/>
  <c r="P41" i="3"/>
  <c r="P12" i="3"/>
  <c r="P11" i="3"/>
  <c r="K27" i="3" l="1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Z77" i="3"/>
  <c r="BX36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<sst xmlns="http://schemas.openxmlformats.org/spreadsheetml/2006/main" count="4562" uniqueCount="2586">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</sst>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19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</cellXfs>
  <cellStyles count="3">
    <cellStyle name="Hyperlink" xfId="1" builtinId="8"/>
    <cellStyle name="Normal" xfId="0" builtinId="0"/>
    <cellStyle name="Note" xfId="2" builtinId="10"/>
  </cellStyles>
  <dxfs count="18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workbookViewId="0">
      <selection activeCell="C20" sqref="C20"/>
    </sheetView>
  </sheetViews>
  <sheetFormatPr defaultColWidth="9.140625" defaultRowHeight="15" x14ac:dyDescent="0.25"/>
  <cols>
    <col min="1" max="1" width="1.140625" style="18" customWidth="1"/>
    <col min="2" max="2" width="18.85546875" style="18" bestFit="1" customWidth="1"/>
    <col min="3" max="3" width="20.28515625" style="18" customWidth="1"/>
    <col min="4" max="4" width="3.28515625" style="18" customWidth="1"/>
    <col min="5" max="5" width="1.140625" style="18" customWidth="1"/>
    <col min="6" max="6" width="18.28515625" style="18" customWidth="1"/>
    <col min="7" max="7" width="8.85546875" style="18" customWidth="1"/>
    <col min="8" max="8" width="9.28515625" style="18" customWidth="1"/>
    <col min="9" max="9" width="8.7109375" style="18" customWidth="1"/>
    <col min="10" max="10" width="3.5703125" style="18" customWidth="1"/>
    <col min="11" max="11" width="1" style="18" customWidth="1"/>
    <col min="12" max="12" width="9.140625" style="18"/>
    <col min="13" max="13" width="27.7109375" style="18" customWidth="1"/>
    <col min="14" max="14" width="3" style="18" customWidth="1"/>
    <col min="15" max="21" width="9.140625" style="154"/>
    <col min="22" max="16384" width="9.140625" style="18"/>
  </cols>
  <sheetData>
    <row r="1" spans="2:27" ht="7.5" customHeight="1" x14ac:dyDescent="0.25"/>
    <row r="2" spans="2:27" ht="16.5" thickBot="1" x14ac:dyDescent="0.3">
      <c r="B2" s="75" t="s">
        <v>2112</v>
      </c>
      <c r="C2" s="76"/>
      <c r="D2" s="77"/>
      <c r="F2" s="75" t="s">
        <v>2579</v>
      </c>
      <c r="G2" s="76"/>
      <c r="H2" s="76"/>
      <c r="I2" s="76"/>
      <c r="J2" s="77"/>
      <c r="L2" s="75" t="s">
        <v>2113</v>
      </c>
      <c r="M2" s="76"/>
      <c r="N2" s="77"/>
    </row>
    <row r="3" spans="2:27" ht="9" customHeight="1" x14ac:dyDescent="0.25">
      <c r="B3" s="78"/>
      <c r="C3" s="79"/>
      <c r="D3" s="80"/>
      <c r="F3" s="78"/>
      <c r="G3" s="5"/>
      <c r="H3" s="5"/>
      <c r="I3" s="5"/>
      <c r="J3" s="80"/>
      <c r="L3" s="78"/>
      <c r="M3" s="79"/>
      <c r="N3" s="80"/>
    </row>
    <row r="4" spans="2:27" x14ac:dyDescent="0.25">
      <c r="B4" s="90" t="s">
        <v>2114</v>
      </c>
      <c r="C4" s="92" t="s">
        <v>0</v>
      </c>
      <c r="D4" s="80"/>
      <c r="F4" s="91"/>
      <c r="G4" s="7" t="s">
        <v>2580</v>
      </c>
      <c r="H4" s="7" t="s">
        <v>2584</v>
      </c>
      <c r="I4" s="7" t="s">
        <v>2582</v>
      </c>
      <c r="J4" s="80"/>
      <c r="L4" s="78"/>
      <c r="M4" s="81"/>
      <c r="N4" s="80"/>
    </row>
    <row r="5" spans="2:27" x14ac:dyDescent="0.25">
      <c r="B5" s="78"/>
      <c r="C5" s="79"/>
      <c r="D5" s="80"/>
      <c r="F5" s="91"/>
      <c r="G5" s="7" t="s">
        <v>2581</v>
      </c>
      <c r="H5" s="8" t="s">
        <v>2585</v>
      </c>
      <c r="I5" s="7"/>
      <c r="J5" s="80"/>
      <c r="L5" s="82" t="s">
        <v>2115</v>
      </c>
      <c r="M5" s="83" t="s">
        <v>2116</v>
      </c>
      <c r="N5" s="80"/>
    </row>
    <row r="6" spans="2:27" x14ac:dyDescent="0.25">
      <c r="B6" s="90" t="s">
        <v>2117</v>
      </c>
      <c r="C6" s="92" t="s">
        <v>2178</v>
      </c>
      <c r="D6" s="80"/>
      <c r="F6" s="91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80"/>
      <c r="L6" s="82" t="s">
        <v>2118</v>
      </c>
      <c r="M6" s="84" t="s">
        <v>2119</v>
      </c>
      <c r="N6" s="80"/>
    </row>
    <row r="7" spans="2:27" x14ac:dyDescent="0.25">
      <c r="B7" s="78"/>
      <c r="C7" s="79"/>
      <c r="D7" s="80"/>
      <c r="F7" s="91" t="str">
        <f t="shared" si="0"/>
        <v>Australia</v>
      </c>
      <c r="G7" s="103">
        <v>0</v>
      </c>
      <c r="H7" s="103">
        <v>0</v>
      </c>
      <c r="I7" s="103">
        <v>7</v>
      </c>
      <c r="J7" s="80"/>
      <c r="L7" s="82" t="s">
        <v>2120</v>
      </c>
      <c r="M7" s="84" t="s">
        <v>2121</v>
      </c>
      <c r="N7" s="80"/>
    </row>
    <row r="8" spans="2:27" x14ac:dyDescent="0.25">
      <c r="B8" s="90" t="s">
        <v>2122</v>
      </c>
      <c r="C8" s="92" t="s">
        <v>2123</v>
      </c>
      <c r="D8" s="80"/>
      <c r="F8" s="91" t="str">
        <f t="shared" si="0"/>
        <v>Belgium</v>
      </c>
      <c r="G8" s="103">
        <v>0</v>
      </c>
      <c r="H8" s="103">
        <v>0</v>
      </c>
      <c r="I8" s="103">
        <v>3</v>
      </c>
      <c r="J8" s="80"/>
      <c r="L8" s="82" t="s">
        <v>2124</v>
      </c>
      <c r="M8" s="84" t="s">
        <v>2125</v>
      </c>
      <c r="N8" s="80"/>
    </row>
    <row r="9" spans="2:27" x14ac:dyDescent="0.25">
      <c r="B9" s="78"/>
      <c r="C9" s="79"/>
      <c r="D9" s="80"/>
      <c r="F9" s="91" t="str">
        <f t="shared" si="0"/>
        <v>Brazil</v>
      </c>
      <c r="G9" s="103">
        <v>0</v>
      </c>
      <c r="H9" s="103">
        <v>0</v>
      </c>
      <c r="I9" s="103">
        <v>3</v>
      </c>
      <c r="J9" s="80"/>
      <c r="L9" s="82" t="s">
        <v>2126</v>
      </c>
      <c r="M9" s="85" t="s">
        <v>2578</v>
      </c>
      <c r="N9" s="80"/>
    </row>
    <row r="10" spans="2:27" x14ac:dyDescent="0.25">
      <c r="B10" s="90" t="s">
        <v>2127</v>
      </c>
      <c r="C10" s="92" t="s">
        <v>2128</v>
      </c>
      <c r="D10" s="80"/>
      <c r="F10" s="91" t="str">
        <f t="shared" si="0"/>
        <v>Colombia</v>
      </c>
      <c r="G10" s="103">
        <v>1</v>
      </c>
      <c r="H10" s="103">
        <v>0</v>
      </c>
      <c r="I10" s="103">
        <v>2</v>
      </c>
      <c r="J10" s="80"/>
      <c r="L10" s="78"/>
      <c r="M10" s="86"/>
      <c r="N10" s="80"/>
    </row>
    <row r="11" spans="2:27" x14ac:dyDescent="0.25">
      <c r="B11" s="78"/>
      <c r="C11" s="79"/>
      <c r="D11" s="80"/>
      <c r="F11" s="91" t="str">
        <f t="shared" si="0"/>
        <v>Costa Rica</v>
      </c>
      <c r="G11" s="103">
        <v>0</v>
      </c>
      <c r="H11" s="103">
        <v>0</v>
      </c>
      <c r="I11" s="103">
        <v>3</v>
      </c>
      <c r="J11" s="80"/>
      <c r="L11" s="87"/>
      <c r="M11" s="88"/>
      <c r="N11" s="89"/>
    </row>
    <row r="12" spans="2:27" ht="15.75" customHeight="1" x14ac:dyDescent="0.25">
      <c r="B12" s="90" t="s">
        <v>2179</v>
      </c>
      <c r="C12" s="92" t="s">
        <v>1151</v>
      </c>
      <c r="D12" s="80"/>
      <c r="F12" s="91" t="str">
        <f t="shared" si="0"/>
        <v>Croatia</v>
      </c>
      <c r="G12" s="103">
        <v>0</v>
      </c>
      <c r="H12" s="103">
        <v>0</v>
      </c>
      <c r="I12" s="103">
        <v>8</v>
      </c>
      <c r="J12" s="80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7"/>
      <c r="C13" s="88"/>
      <c r="D13" s="89"/>
      <c r="F13" s="91" t="str">
        <f t="shared" si="0"/>
        <v>Denmark</v>
      </c>
      <c r="G13" s="103">
        <v>0</v>
      </c>
      <c r="H13" s="103">
        <v>0</v>
      </c>
      <c r="I13" s="103">
        <v>5</v>
      </c>
      <c r="J13" s="80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91" t="str">
        <f t="shared" si="0"/>
        <v>Egypt</v>
      </c>
      <c r="G14" s="103">
        <v>0</v>
      </c>
      <c r="H14" s="103">
        <v>0</v>
      </c>
      <c r="I14" s="103">
        <v>5</v>
      </c>
      <c r="J14" s="80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91" t="str">
        <f t="shared" si="0"/>
        <v>England</v>
      </c>
      <c r="G15" s="103">
        <v>0</v>
      </c>
      <c r="H15" s="103">
        <v>0</v>
      </c>
      <c r="I15" s="103">
        <v>2</v>
      </c>
      <c r="J15" s="80"/>
      <c r="O15" s="154" t="s">
        <v>2129</v>
      </c>
      <c r="P15" s="154">
        <f>IF(ISERROR(MATCH(C4,lang_list,0)),1,MATCH(C4,lang_list,0))</f>
        <v>1</v>
      </c>
      <c r="R15" s="154" t="str">
        <f>IFERROR(VLOOKUP(C12,T,lang,FALSE),"")</f>
        <v>Argentina</v>
      </c>
      <c r="V15" s="4"/>
      <c r="W15" s="4"/>
      <c r="X15" s="4"/>
      <c r="Y15" s="4"/>
      <c r="Z15" s="4"/>
      <c r="AA15" s="4"/>
    </row>
    <row r="16" spans="2:27" ht="15.75" customHeight="1" x14ac:dyDescent="0.25">
      <c r="F16" s="91" t="str">
        <f t="shared" si="0"/>
        <v>France</v>
      </c>
      <c r="G16" s="103">
        <v>0</v>
      </c>
      <c r="H16" s="103">
        <v>0</v>
      </c>
      <c r="I16" s="103">
        <v>3</v>
      </c>
      <c r="J16" s="80"/>
      <c r="O16" s="154" t="s">
        <v>2130</v>
      </c>
      <c r="P16" s="154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91" t="str">
        <f t="shared" si="0"/>
        <v>Germany</v>
      </c>
      <c r="G17" s="103">
        <v>0</v>
      </c>
      <c r="H17" s="103">
        <v>1</v>
      </c>
      <c r="I17" s="103">
        <v>2</v>
      </c>
      <c r="J17" s="80"/>
      <c r="R17" s="154" t="s">
        <v>1151</v>
      </c>
      <c r="S17" s="154" t="str">
        <f t="shared" ref="S17:S48" si="1">VLOOKUP(R17,T,lang,FALSE)</f>
        <v>Argentina</v>
      </c>
      <c r="T17" s="154">
        <f>-4*G6+-3*H6+-1*I6</f>
        <v>-6</v>
      </c>
      <c r="U17" s="154">
        <v>0</v>
      </c>
      <c r="V17" s="4"/>
      <c r="W17" s="4"/>
      <c r="X17" s="4"/>
      <c r="Y17" s="4"/>
      <c r="Z17" s="4"/>
      <c r="AA17" s="4"/>
    </row>
    <row r="18" spans="6:27" x14ac:dyDescent="0.25">
      <c r="F18" s="91" t="str">
        <f t="shared" si="0"/>
        <v>Iceland</v>
      </c>
      <c r="G18" s="103">
        <v>0</v>
      </c>
      <c r="H18" s="103">
        <v>0</v>
      </c>
      <c r="I18" s="103">
        <v>3</v>
      </c>
      <c r="J18" s="80"/>
      <c r="O18" s="154" t="s">
        <v>2131</v>
      </c>
      <c r="P18" s="154">
        <v>0</v>
      </c>
      <c r="R18" s="154" t="s">
        <v>1328</v>
      </c>
      <c r="S18" s="154" t="str">
        <f t="shared" si="1"/>
        <v>Australia</v>
      </c>
      <c r="T18" s="154">
        <f t="shared" ref="T18:T48" si="2">-4*G7+-3*H7+-1*I7</f>
        <v>-7</v>
      </c>
      <c r="U18" s="154">
        <v>1</v>
      </c>
      <c r="V18" s="4"/>
      <c r="W18" s="4"/>
      <c r="X18" s="4"/>
      <c r="Y18" s="4"/>
      <c r="Z18" s="4"/>
      <c r="AA18" s="4"/>
    </row>
    <row r="19" spans="6:27" x14ac:dyDescent="0.25">
      <c r="F19" s="91" t="str">
        <f t="shared" si="0"/>
        <v>Iran</v>
      </c>
      <c r="G19" s="103">
        <v>0</v>
      </c>
      <c r="H19" s="103">
        <v>0</v>
      </c>
      <c r="I19" s="103">
        <v>7</v>
      </c>
      <c r="J19" s="80"/>
      <c r="O19" s="154" t="s">
        <v>2132</v>
      </c>
      <c r="P19" s="154">
        <v>1</v>
      </c>
      <c r="R19" s="154" t="s">
        <v>1484</v>
      </c>
      <c r="S19" s="154" t="str">
        <f t="shared" si="1"/>
        <v>Belgium</v>
      </c>
      <c r="T19" s="154">
        <f t="shared" si="2"/>
        <v>-3</v>
      </c>
      <c r="U19" s="154">
        <v>2</v>
      </c>
      <c r="V19" s="4"/>
      <c r="W19" s="4"/>
      <c r="X19" s="4"/>
      <c r="Y19" s="4"/>
      <c r="Z19" s="4"/>
      <c r="AA19" s="4"/>
    </row>
    <row r="20" spans="6:27" x14ac:dyDescent="0.25">
      <c r="F20" s="91" t="str">
        <f t="shared" si="0"/>
        <v>Japan</v>
      </c>
      <c r="G20" s="103">
        <v>0</v>
      </c>
      <c r="H20" s="103">
        <v>0</v>
      </c>
      <c r="I20" s="103">
        <v>3</v>
      </c>
      <c r="J20" s="80"/>
      <c r="O20" s="154" t="s">
        <v>2133</v>
      </c>
      <c r="P20" s="154">
        <v>2</v>
      </c>
      <c r="R20" s="154" t="s">
        <v>1454</v>
      </c>
      <c r="S20" s="154" t="str">
        <f t="shared" si="1"/>
        <v>Brazil</v>
      </c>
      <c r="T20" s="154">
        <f t="shared" si="2"/>
        <v>-3</v>
      </c>
      <c r="U20" s="154">
        <v>3</v>
      </c>
      <c r="V20" s="4"/>
      <c r="W20" s="4"/>
      <c r="X20" s="4"/>
      <c r="Y20" s="4"/>
      <c r="Z20" s="4"/>
      <c r="AA20" s="4"/>
    </row>
    <row r="21" spans="6:27" x14ac:dyDescent="0.25">
      <c r="F21" s="91" t="str">
        <f t="shared" si="0"/>
        <v>Korea Republic</v>
      </c>
      <c r="G21" s="103">
        <v>0</v>
      </c>
      <c r="H21" s="103">
        <v>0</v>
      </c>
      <c r="I21" s="103">
        <v>2</v>
      </c>
      <c r="J21" s="80"/>
      <c r="O21" s="154" t="s">
        <v>2134</v>
      </c>
      <c r="P21" s="154">
        <v>3</v>
      </c>
      <c r="R21" s="154" t="s">
        <v>1358</v>
      </c>
      <c r="S21" s="154" t="str">
        <f t="shared" si="1"/>
        <v>Colombia</v>
      </c>
      <c r="T21" s="154">
        <f t="shared" si="2"/>
        <v>-6</v>
      </c>
      <c r="U21" s="154">
        <v>4</v>
      </c>
      <c r="V21" s="4"/>
      <c r="W21" s="4"/>
      <c r="X21" s="4"/>
      <c r="Y21" s="4"/>
      <c r="Z21" s="4"/>
      <c r="AA21" s="4"/>
    </row>
    <row r="22" spans="6:27" x14ac:dyDescent="0.25">
      <c r="F22" s="91" t="str">
        <f t="shared" si="0"/>
        <v>Mexico</v>
      </c>
      <c r="G22" s="103">
        <v>0</v>
      </c>
      <c r="H22" s="103">
        <v>0</v>
      </c>
      <c r="I22" s="103">
        <v>8</v>
      </c>
      <c r="J22" s="80"/>
      <c r="O22" s="154" t="s">
        <v>2135</v>
      </c>
      <c r="P22" s="154">
        <v>4</v>
      </c>
      <c r="R22" s="154" t="s">
        <v>1384</v>
      </c>
      <c r="S22" s="154" t="str">
        <f t="shared" si="1"/>
        <v>Costa Rica</v>
      </c>
      <c r="T22" s="154">
        <f t="shared" si="2"/>
        <v>-3</v>
      </c>
      <c r="U22" s="154">
        <v>5</v>
      </c>
      <c r="V22" s="4"/>
      <c r="W22" s="4"/>
      <c r="X22" s="4"/>
      <c r="Y22" s="4"/>
      <c r="Z22" s="4"/>
      <c r="AA22" s="4"/>
    </row>
    <row r="23" spans="6:27" x14ac:dyDescent="0.25">
      <c r="F23" s="91" t="str">
        <f t="shared" si="0"/>
        <v>Morocco</v>
      </c>
      <c r="G23" s="103">
        <v>0</v>
      </c>
      <c r="H23" s="103">
        <v>0</v>
      </c>
      <c r="I23" s="103">
        <v>4</v>
      </c>
      <c r="J23" s="80"/>
      <c r="O23" s="154" t="s">
        <v>2136</v>
      </c>
      <c r="P23" s="154">
        <v>5</v>
      </c>
      <c r="R23" s="154" t="s">
        <v>1039</v>
      </c>
      <c r="S23" s="154" t="str">
        <f t="shared" si="1"/>
        <v>Croatia</v>
      </c>
      <c r="T23" s="154">
        <f t="shared" si="2"/>
        <v>-8</v>
      </c>
      <c r="U23" s="154">
        <v>6</v>
      </c>
      <c r="V23" s="4"/>
      <c r="W23" s="4"/>
      <c r="X23" s="4"/>
      <c r="Y23" s="4"/>
      <c r="Z23" s="4"/>
      <c r="AA23" s="4"/>
    </row>
    <row r="24" spans="6:27" x14ac:dyDescent="0.25">
      <c r="F24" s="91" t="str">
        <f t="shared" si="0"/>
        <v>Nigeria</v>
      </c>
      <c r="G24" s="103">
        <v>0</v>
      </c>
      <c r="H24" s="103">
        <v>0</v>
      </c>
      <c r="I24" s="103">
        <v>8</v>
      </c>
      <c r="J24" s="80"/>
      <c r="O24" s="154" t="s">
        <v>2137</v>
      </c>
      <c r="P24" s="154">
        <v>6</v>
      </c>
      <c r="R24" s="154" t="s">
        <v>2162</v>
      </c>
      <c r="S24" s="154" t="str">
        <f t="shared" si="1"/>
        <v>Denmark</v>
      </c>
      <c r="T24" s="154">
        <f t="shared" si="2"/>
        <v>-5</v>
      </c>
      <c r="U24" s="154">
        <v>7</v>
      </c>
      <c r="V24" s="4"/>
      <c r="W24" s="4"/>
      <c r="X24" s="4"/>
      <c r="Y24" s="4"/>
      <c r="Z24" s="4"/>
      <c r="AA24" s="4"/>
    </row>
    <row r="25" spans="6:27" x14ac:dyDescent="0.25">
      <c r="F25" s="91" t="str">
        <f t="shared" si="0"/>
        <v>Panama</v>
      </c>
      <c r="G25" s="103">
        <v>0</v>
      </c>
      <c r="H25" s="103">
        <v>0</v>
      </c>
      <c r="I25" s="103">
        <v>5</v>
      </c>
      <c r="J25" s="80"/>
      <c r="O25" s="154" t="s">
        <v>2138</v>
      </c>
      <c r="P25" s="154">
        <v>7</v>
      </c>
      <c r="R25" s="154" t="s">
        <v>2159</v>
      </c>
      <c r="S25" s="154" t="str">
        <f t="shared" si="1"/>
        <v>Egypt</v>
      </c>
      <c r="T25" s="154">
        <f t="shared" si="2"/>
        <v>-5</v>
      </c>
      <c r="U25" s="154">
        <v>8</v>
      </c>
      <c r="V25" s="4"/>
      <c r="W25" s="4"/>
      <c r="X25" s="4"/>
      <c r="Y25" s="4"/>
      <c r="Z25" s="4"/>
      <c r="AA25" s="4"/>
    </row>
    <row r="26" spans="6:27" x14ac:dyDescent="0.25">
      <c r="F26" s="91" t="str">
        <f t="shared" si="0"/>
        <v>Peru</v>
      </c>
      <c r="G26" s="103">
        <v>0</v>
      </c>
      <c r="H26" s="103">
        <v>0</v>
      </c>
      <c r="I26" s="103">
        <v>3</v>
      </c>
      <c r="J26" s="80"/>
      <c r="O26" s="154" t="s">
        <v>2139</v>
      </c>
      <c r="P26" s="154">
        <v>8</v>
      </c>
      <c r="R26" s="154" t="s">
        <v>1231</v>
      </c>
      <c r="S26" s="154" t="str">
        <f t="shared" si="1"/>
        <v>England</v>
      </c>
      <c r="T26" s="154">
        <f t="shared" si="2"/>
        <v>-2</v>
      </c>
      <c r="U26" s="154">
        <v>9</v>
      </c>
      <c r="V26" s="4"/>
      <c r="W26" s="4"/>
      <c r="X26" s="4"/>
      <c r="Y26" s="4"/>
      <c r="Z26" s="4"/>
      <c r="AA26" s="4"/>
    </row>
    <row r="27" spans="6:27" x14ac:dyDescent="0.25">
      <c r="F27" s="91" t="str">
        <f t="shared" si="0"/>
        <v>Poland</v>
      </c>
      <c r="G27" s="103">
        <v>0</v>
      </c>
      <c r="H27" s="103">
        <v>0</v>
      </c>
      <c r="I27" s="103">
        <v>6</v>
      </c>
      <c r="J27" s="80"/>
      <c r="O27" s="154" t="s">
        <v>2140</v>
      </c>
      <c r="P27" s="154">
        <v>9</v>
      </c>
      <c r="R27" s="154" t="s">
        <v>1120</v>
      </c>
      <c r="S27" s="154" t="str">
        <f t="shared" si="1"/>
        <v>France</v>
      </c>
      <c r="T27" s="154">
        <f t="shared" si="2"/>
        <v>-3</v>
      </c>
      <c r="U27" s="154">
        <v>10</v>
      </c>
      <c r="V27" s="4"/>
      <c r="W27" s="4"/>
      <c r="X27" s="4"/>
      <c r="Y27" s="4"/>
      <c r="Z27" s="4"/>
      <c r="AA27" s="4"/>
    </row>
    <row r="28" spans="6:27" x14ac:dyDescent="0.25">
      <c r="F28" s="91" t="str">
        <f t="shared" si="0"/>
        <v>Portugal</v>
      </c>
      <c r="G28" s="103">
        <v>0</v>
      </c>
      <c r="H28" s="103">
        <v>1</v>
      </c>
      <c r="I28" s="103">
        <v>3</v>
      </c>
      <c r="J28" s="80"/>
      <c r="O28" s="154" t="s">
        <v>2141</v>
      </c>
      <c r="P28" s="154">
        <v>10</v>
      </c>
      <c r="R28" s="154" t="s">
        <v>1293</v>
      </c>
      <c r="S28" s="154" t="str">
        <f t="shared" si="1"/>
        <v>Germany</v>
      </c>
      <c r="T28" s="154">
        <f t="shared" si="2"/>
        <v>-5</v>
      </c>
      <c r="U28" s="154">
        <v>11</v>
      </c>
      <c r="V28" s="4"/>
      <c r="W28" s="4"/>
      <c r="X28" s="4"/>
      <c r="Y28" s="4"/>
      <c r="Z28" s="4"/>
      <c r="AA28" s="4"/>
    </row>
    <row r="29" spans="6:27" x14ac:dyDescent="0.25">
      <c r="F29" s="91" t="str">
        <f t="shared" si="0"/>
        <v>Russia</v>
      </c>
      <c r="G29" s="103">
        <v>0</v>
      </c>
      <c r="H29" s="103">
        <v>0</v>
      </c>
      <c r="I29" s="103">
        <v>1</v>
      </c>
      <c r="J29" s="80"/>
      <c r="O29" s="154" t="s">
        <v>2123</v>
      </c>
      <c r="P29" s="154">
        <v>11</v>
      </c>
      <c r="R29" s="154" t="s">
        <v>2163</v>
      </c>
      <c r="S29" s="154" t="str">
        <f t="shared" si="1"/>
        <v>Iceland</v>
      </c>
      <c r="T29" s="154">
        <f t="shared" si="2"/>
        <v>-3</v>
      </c>
      <c r="U29" s="154">
        <v>12</v>
      </c>
      <c r="V29" s="4"/>
      <c r="W29" s="4"/>
      <c r="X29" s="4"/>
      <c r="Y29" s="4"/>
      <c r="Z29" s="4"/>
      <c r="AA29" s="4"/>
    </row>
    <row r="30" spans="6:27" x14ac:dyDescent="0.25">
      <c r="F30" s="91" t="str">
        <f t="shared" si="0"/>
        <v>Saudi Arabia</v>
      </c>
      <c r="G30" s="103">
        <v>0</v>
      </c>
      <c r="H30" s="103">
        <v>0</v>
      </c>
      <c r="I30" s="103">
        <v>5</v>
      </c>
      <c r="J30" s="80"/>
      <c r="O30" s="154" t="s">
        <v>2142</v>
      </c>
      <c r="P30" s="154">
        <v>12</v>
      </c>
      <c r="R30" s="154" t="s">
        <v>1435</v>
      </c>
      <c r="S30" s="154" t="str">
        <f t="shared" si="1"/>
        <v>Iran</v>
      </c>
      <c r="T30" s="154">
        <f t="shared" si="2"/>
        <v>-7</v>
      </c>
      <c r="U30" s="154">
        <v>13</v>
      </c>
      <c r="V30" s="4"/>
      <c r="W30" s="4"/>
      <c r="X30" s="4"/>
      <c r="Y30" s="4"/>
      <c r="Z30" s="4"/>
      <c r="AA30" s="4"/>
    </row>
    <row r="31" spans="6:27" x14ac:dyDescent="0.25">
      <c r="F31" s="91" t="str">
        <f t="shared" si="0"/>
        <v>Senegal</v>
      </c>
      <c r="G31" s="103">
        <v>0</v>
      </c>
      <c r="H31" s="103">
        <v>0</v>
      </c>
      <c r="I31" s="103">
        <v>6</v>
      </c>
      <c r="J31" s="80"/>
      <c r="O31" s="154" t="s">
        <v>2143</v>
      </c>
      <c r="P31" s="154">
        <v>13</v>
      </c>
      <c r="R31" s="154" t="s">
        <v>1406</v>
      </c>
      <c r="S31" s="154" t="str">
        <f t="shared" si="1"/>
        <v>Japan</v>
      </c>
      <c r="T31" s="154">
        <f t="shared" si="2"/>
        <v>-3</v>
      </c>
      <c r="U31" s="154">
        <v>14</v>
      </c>
      <c r="V31" s="4"/>
      <c r="W31" s="4"/>
      <c r="X31" s="4"/>
      <c r="Y31" s="4"/>
      <c r="Z31" s="4"/>
      <c r="AA31" s="4"/>
    </row>
    <row r="32" spans="6:27" x14ac:dyDescent="0.25">
      <c r="F32" s="91" t="str">
        <f t="shared" si="0"/>
        <v>Serbia</v>
      </c>
      <c r="G32" s="103">
        <v>0</v>
      </c>
      <c r="H32" s="103">
        <v>0</v>
      </c>
      <c r="I32" s="103">
        <v>6</v>
      </c>
      <c r="J32" s="80"/>
      <c r="O32" s="154" t="s">
        <v>2144</v>
      </c>
      <c r="P32" s="154">
        <v>14</v>
      </c>
      <c r="R32" s="154" t="s">
        <v>1195</v>
      </c>
      <c r="S32" s="154" t="str">
        <f t="shared" si="1"/>
        <v>Korea Republic</v>
      </c>
      <c r="T32" s="154">
        <f t="shared" si="2"/>
        <v>-2</v>
      </c>
      <c r="U32" s="154">
        <v>15</v>
      </c>
      <c r="V32" s="4"/>
      <c r="W32" s="4"/>
      <c r="X32" s="4"/>
      <c r="Y32" s="4"/>
      <c r="Z32" s="4"/>
      <c r="AA32" s="4"/>
    </row>
    <row r="33" spans="6:27" x14ac:dyDescent="0.25">
      <c r="F33" s="91" t="str">
        <f t="shared" si="0"/>
        <v>Spain</v>
      </c>
      <c r="G33" s="103">
        <v>0</v>
      </c>
      <c r="H33" s="103">
        <v>0</v>
      </c>
      <c r="I33" s="103">
        <v>1</v>
      </c>
      <c r="J33" s="80"/>
      <c r="O33" s="154" t="s">
        <v>2145</v>
      </c>
      <c r="P33" s="154">
        <v>15</v>
      </c>
      <c r="R33" s="154" t="s">
        <v>1075</v>
      </c>
      <c r="S33" s="154" t="str">
        <f t="shared" si="1"/>
        <v>Mexico</v>
      </c>
      <c r="T33" s="154">
        <f t="shared" si="2"/>
        <v>-8</v>
      </c>
      <c r="U33" s="154">
        <v>16</v>
      </c>
      <c r="V33" s="4"/>
      <c r="W33" s="4"/>
      <c r="X33" s="4"/>
      <c r="Y33" s="4"/>
      <c r="Z33" s="4"/>
      <c r="AA33" s="4"/>
    </row>
    <row r="34" spans="6:27" x14ac:dyDescent="0.25">
      <c r="F34" s="91" t="str">
        <f t="shared" si="0"/>
        <v>Sweden</v>
      </c>
      <c r="G34" s="103">
        <v>0</v>
      </c>
      <c r="H34" s="103">
        <v>0</v>
      </c>
      <c r="I34" s="103">
        <v>3</v>
      </c>
      <c r="J34" s="80"/>
      <c r="O34" s="154" t="s">
        <v>2146</v>
      </c>
      <c r="P34" s="154">
        <v>16</v>
      </c>
      <c r="R34" s="154" t="s">
        <v>2160</v>
      </c>
      <c r="S34" s="154" t="str">
        <f t="shared" si="1"/>
        <v>Morocco</v>
      </c>
      <c r="T34" s="154">
        <f t="shared" si="2"/>
        <v>-4</v>
      </c>
      <c r="U34" s="154">
        <v>17</v>
      </c>
      <c r="V34" s="4"/>
      <c r="W34" s="4"/>
      <c r="X34" s="4"/>
      <c r="Y34" s="4"/>
      <c r="Z34" s="4"/>
      <c r="AA34" s="4"/>
    </row>
    <row r="35" spans="6:27" x14ac:dyDescent="0.25">
      <c r="F35" s="91" t="str">
        <f t="shared" si="0"/>
        <v>Switzerland</v>
      </c>
      <c r="G35" s="103">
        <v>0</v>
      </c>
      <c r="H35" s="103">
        <v>0</v>
      </c>
      <c r="I35" s="103">
        <v>4</v>
      </c>
      <c r="J35" s="80"/>
      <c r="O35" s="154" t="s">
        <v>2147</v>
      </c>
      <c r="P35" s="154">
        <v>17</v>
      </c>
      <c r="R35" s="154" t="s">
        <v>1172</v>
      </c>
      <c r="S35" s="154" t="str">
        <f t="shared" si="1"/>
        <v>Nigeria</v>
      </c>
      <c r="T35" s="154">
        <f t="shared" si="2"/>
        <v>-8</v>
      </c>
      <c r="U35" s="154">
        <v>18</v>
      </c>
      <c r="V35" s="4"/>
      <c r="W35" s="4"/>
      <c r="X35" s="4"/>
      <c r="Y35" s="4"/>
      <c r="Z35" s="4"/>
      <c r="AA35" s="4"/>
    </row>
    <row r="36" spans="6:27" x14ac:dyDescent="0.25">
      <c r="F36" s="91" t="str">
        <f t="shared" si="0"/>
        <v>Tunisia</v>
      </c>
      <c r="G36" s="103">
        <v>0</v>
      </c>
      <c r="H36" s="103">
        <v>0</v>
      </c>
      <c r="I36" s="103">
        <v>1</v>
      </c>
      <c r="J36" s="80"/>
      <c r="O36" s="154" t="s">
        <v>2148</v>
      </c>
      <c r="P36" s="154">
        <v>18</v>
      </c>
      <c r="R36" s="154" t="s">
        <v>2166</v>
      </c>
      <c r="S36" s="154" t="str">
        <f t="shared" si="1"/>
        <v>Panama</v>
      </c>
      <c r="T36" s="154">
        <f t="shared" si="2"/>
        <v>-5</v>
      </c>
      <c r="U36" s="154">
        <v>19</v>
      </c>
      <c r="V36" s="4"/>
      <c r="W36" s="4"/>
      <c r="X36" s="4"/>
      <c r="Y36" s="4"/>
      <c r="Z36" s="4"/>
      <c r="AA36" s="4"/>
    </row>
    <row r="37" spans="6:27" x14ac:dyDescent="0.25">
      <c r="F37" s="91" t="str">
        <f t="shared" si="0"/>
        <v>Uruguay</v>
      </c>
      <c r="G37" s="104">
        <v>0</v>
      </c>
      <c r="H37" s="104">
        <v>0</v>
      </c>
      <c r="I37" s="104">
        <v>1</v>
      </c>
      <c r="J37" s="80"/>
      <c r="O37" s="154" t="s">
        <v>2149</v>
      </c>
      <c r="P37" s="154">
        <v>19</v>
      </c>
      <c r="R37" s="154" t="s">
        <v>2161</v>
      </c>
      <c r="S37" s="154" t="str">
        <f t="shared" si="1"/>
        <v>Peru</v>
      </c>
      <c r="T37" s="154">
        <f t="shared" si="2"/>
        <v>-3</v>
      </c>
      <c r="U37" s="154">
        <v>20</v>
      </c>
      <c r="V37" s="4"/>
      <c r="W37" s="4"/>
      <c r="X37" s="4"/>
      <c r="Y37" s="4"/>
      <c r="Z37" s="4"/>
      <c r="AA37" s="4"/>
    </row>
    <row r="38" spans="6:27" x14ac:dyDescent="0.25">
      <c r="F38" s="87"/>
      <c r="G38" s="88"/>
      <c r="H38" s="88"/>
      <c r="I38" s="88"/>
      <c r="J38" s="89"/>
      <c r="O38" s="154" t="s">
        <v>2150</v>
      </c>
      <c r="P38" s="154">
        <v>20</v>
      </c>
      <c r="R38" s="154" t="s">
        <v>2168</v>
      </c>
      <c r="S38" s="154" t="str">
        <f t="shared" si="1"/>
        <v>Poland</v>
      </c>
      <c r="T38" s="154">
        <f t="shared" si="2"/>
        <v>-6</v>
      </c>
      <c r="U38" s="154">
        <v>21</v>
      </c>
      <c r="V38" s="4"/>
      <c r="W38" s="4"/>
      <c r="X38" s="4"/>
      <c r="Y38" s="4"/>
      <c r="Z38" s="4"/>
      <c r="AA38" s="4"/>
    </row>
    <row r="39" spans="6:27" x14ac:dyDescent="0.25">
      <c r="O39" s="154" t="s">
        <v>2151</v>
      </c>
      <c r="P39" s="154">
        <v>21</v>
      </c>
      <c r="R39" s="154" t="s">
        <v>1513</v>
      </c>
      <c r="S39" s="154" t="str">
        <f t="shared" si="1"/>
        <v>Portugal</v>
      </c>
      <c r="T39" s="154">
        <f t="shared" si="2"/>
        <v>-6</v>
      </c>
      <c r="U39" s="154">
        <v>22</v>
      </c>
      <c r="V39" s="4"/>
      <c r="W39" s="4"/>
      <c r="X39" s="4"/>
      <c r="Y39" s="4"/>
      <c r="Z39" s="4"/>
      <c r="AA39" s="4"/>
    </row>
    <row r="40" spans="6:27" x14ac:dyDescent="0.25">
      <c r="O40" s="154" t="s">
        <v>2152</v>
      </c>
      <c r="P40" s="154">
        <v>22</v>
      </c>
      <c r="R40" s="154" t="s">
        <v>1262</v>
      </c>
      <c r="S40" s="154" t="str">
        <f t="shared" si="1"/>
        <v>Russia</v>
      </c>
      <c r="T40" s="154">
        <f t="shared" si="2"/>
        <v>-1</v>
      </c>
      <c r="U40" s="154">
        <v>23</v>
      </c>
      <c r="V40" s="4"/>
      <c r="W40" s="4"/>
      <c r="X40" s="4"/>
      <c r="Y40" s="4"/>
      <c r="Z40" s="4"/>
      <c r="AA40" s="4"/>
    </row>
    <row r="41" spans="6:27" x14ac:dyDescent="0.25">
      <c r="O41" s="154" t="s">
        <v>2153</v>
      </c>
      <c r="P41" s="154">
        <v>23</v>
      </c>
      <c r="R41" s="154" t="s">
        <v>2158</v>
      </c>
      <c r="S41" s="154" t="str">
        <f t="shared" si="1"/>
        <v>Saudi Arabia</v>
      </c>
      <c r="T41" s="154">
        <f t="shared" si="2"/>
        <v>-5</v>
      </c>
      <c r="U41" s="154">
        <v>24</v>
      </c>
      <c r="V41" s="4"/>
      <c r="W41" s="4"/>
      <c r="X41" s="4"/>
      <c r="Y41" s="4"/>
      <c r="Z41" s="4"/>
      <c r="AA41" s="4"/>
    </row>
    <row r="42" spans="6:27" x14ac:dyDescent="0.25">
      <c r="R42" s="154" t="s">
        <v>2169</v>
      </c>
      <c r="S42" s="154" t="str">
        <f t="shared" si="1"/>
        <v>Senegal</v>
      </c>
      <c r="T42" s="154">
        <f t="shared" si="2"/>
        <v>-6</v>
      </c>
      <c r="U42" s="154">
        <v>25</v>
      </c>
      <c r="V42" s="4"/>
      <c r="W42" s="4"/>
      <c r="X42" s="4"/>
      <c r="Y42" s="4"/>
      <c r="Z42" s="4"/>
      <c r="AA42" s="4"/>
    </row>
    <row r="43" spans="6:27" x14ac:dyDescent="0.25">
      <c r="O43" s="154" t="s">
        <v>2128</v>
      </c>
      <c r="P43" s="154">
        <v>0</v>
      </c>
      <c r="R43" s="154" t="s">
        <v>2164</v>
      </c>
      <c r="S43" s="154" t="str">
        <f t="shared" si="1"/>
        <v>Serbia</v>
      </c>
      <c r="T43" s="154">
        <f t="shared" si="2"/>
        <v>-6</v>
      </c>
      <c r="U43" s="154">
        <v>26</v>
      </c>
      <c r="V43" s="4"/>
      <c r="W43" s="4"/>
      <c r="X43" s="4"/>
      <c r="Y43" s="4"/>
      <c r="Z43" s="4"/>
      <c r="AA43" s="4"/>
    </row>
    <row r="44" spans="6:27" x14ac:dyDescent="0.25">
      <c r="O44" s="154" t="s">
        <v>2154</v>
      </c>
      <c r="P44" s="154">
        <v>15</v>
      </c>
      <c r="R44" s="154" t="s">
        <v>1538</v>
      </c>
      <c r="S44" s="154" t="str">
        <f t="shared" si="1"/>
        <v>Spain</v>
      </c>
      <c r="T44" s="154">
        <f t="shared" si="2"/>
        <v>-1</v>
      </c>
      <c r="U44" s="154">
        <v>27</v>
      </c>
      <c r="V44" s="4"/>
      <c r="W44" s="4"/>
      <c r="X44" s="4"/>
      <c r="Y44" s="4"/>
      <c r="Z44" s="4"/>
      <c r="AA44" s="4"/>
    </row>
    <row r="45" spans="6:27" x14ac:dyDescent="0.25">
      <c r="O45" s="154" t="s">
        <v>2155</v>
      </c>
      <c r="P45" s="154">
        <v>30</v>
      </c>
      <c r="R45" s="154" t="s">
        <v>2165</v>
      </c>
      <c r="S45" s="154" t="str">
        <f t="shared" si="1"/>
        <v>Sweden</v>
      </c>
      <c r="T45" s="154">
        <f t="shared" si="2"/>
        <v>-3</v>
      </c>
      <c r="U45" s="154">
        <v>28</v>
      </c>
      <c r="V45" s="4"/>
      <c r="W45" s="4"/>
      <c r="X45" s="4"/>
      <c r="Y45" s="4"/>
      <c r="Z45" s="4"/>
      <c r="AA45" s="4"/>
    </row>
    <row r="46" spans="6:27" x14ac:dyDescent="0.25">
      <c r="O46" s="154" t="s">
        <v>2156</v>
      </c>
      <c r="P46" s="154">
        <v>45</v>
      </c>
      <c r="R46" s="154" t="s">
        <v>1574</v>
      </c>
      <c r="S46" s="154" t="str">
        <f t="shared" si="1"/>
        <v>Switzerland</v>
      </c>
      <c r="T46" s="154">
        <f t="shared" si="2"/>
        <v>-4</v>
      </c>
      <c r="U46" s="154">
        <v>29</v>
      </c>
      <c r="V46" s="4"/>
      <c r="W46" s="4"/>
      <c r="X46" s="4"/>
      <c r="Y46" s="4"/>
      <c r="Z46" s="4"/>
      <c r="AA46" s="4"/>
    </row>
    <row r="47" spans="6:27" x14ac:dyDescent="0.25">
      <c r="R47" s="154" t="s">
        <v>2167</v>
      </c>
      <c r="S47" s="154" t="str">
        <f t="shared" si="1"/>
        <v>Tunisia</v>
      </c>
      <c r="T47" s="154">
        <f t="shared" si="2"/>
        <v>-1</v>
      </c>
      <c r="U47" s="154">
        <v>30</v>
      </c>
      <c r="V47" s="4"/>
      <c r="W47" s="4"/>
      <c r="X47" s="4"/>
      <c r="Y47" s="4"/>
      <c r="Z47" s="4"/>
      <c r="AA47" s="4"/>
    </row>
    <row r="48" spans="6:27" x14ac:dyDescent="0.25">
      <c r="O48" s="154" t="s">
        <v>2157</v>
      </c>
      <c r="P48" s="154">
        <f>IF(M4="Type 2",0,1)</f>
        <v>1</v>
      </c>
      <c r="R48" s="154" t="s">
        <v>1100</v>
      </c>
      <c r="S48" s="154" t="str">
        <f t="shared" si="1"/>
        <v>Uruguay</v>
      </c>
      <c r="T48" s="154">
        <f t="shared" si="2"/>
        <v>-1</v>
      </c>
      <c r="U48" s="154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de5663D76H/D1bb1YJFiuB2P1v94+0JZTj31EJ9qoznr167w1vtreqgUqqravjO86yF5rrwakemnI4FYfbv5jA==" saltValue="5vh38aF9VLctHlD9xua0p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zoomScaleNormal="100" workbookViewId="0">
      <selection activeCell="A3" sqref="A3"/>
    </sheetView>
  </sheetViews>
  <sheetFormatPr defaultColWidth="9.140625" defaultRowHeight="15" x14ac:dyDescent="0.25"/>
  <cols>
    <col min="1" max="1" width="4.85546875" style="11" customWidth="1"/>
    <col min="2" max="2" width="6.140625" style="11" customWidth="1"/>
    <col min="3" max="3" width="11.7109375" style="11" bestFit="1" customWidth="1"/>
    <col min="4" max="4" width="7.28515625" style="12" customWidth="1"/>
    <col min="5" max="5" width="22.5703125" style="13" customWidth="1"/>
    <col min="6" max="7" width="4.28515625" style="14" customWidth="1"/>
    <col min="8" max="8" width="22.5703125" style="15" customWidth="1"/>
    <col min="9" max="9" width="3.42578125" style="10" customWidth="1"/>
    <col min="10" max="10" width="14" style="16" customWidth="1"/>
    <col min="11" max="14" width="5.42578125" style="17" customWidth="1"/>
    <col min="15" max="15" width="7.7109375" style="17" customWidth="1"/>
    <col min="16" max="16" width="6.7109375" style="17" customWidth="1"/>
    <col min="17" max="17" width="3.42578125" style="9" customWidth="1"/>
    <col min="18" max="18" width="15.42578125" style="147" hidden="1" customWidth="1"/>
    <col min="19" max="20" width="16" style="152" hidden="1" customWidth="1"/>
    <col min="21" max="21" width="5" style="148" hidden="1" customWidth="1"/>
    <col min="22" max="25" width="6.140625" style="147" hidden="1" customWidth="1"/>
    <col min="26" max="26" width="4.28515625" style="148" hidden="1" customWidth="1"/>
    <col min="27" max="27" width="5.42578125" style="147" hidden="1" customWidth="1"/>
    <col min="28" max="28" width="13.42578125" style="148" hidden="1" customWidth="1"/>
    <col min="29" max="33" width="5.42578125" style="147" hidden="1" customWidth="1"/>
    <col min="34" max="36" width="6" style="147" hidden="1" customWidth="1"/>
    <col min="37" max="37" width="5.42578125" style="147" hidden="1" customWidth="1"/>
    <col min="38" max="38" width="6" style="147" hidden="1" customWidth="1"/>
    <col min="39" max="42" width="7.140625" style="148" hidden="1" customWidth="1"/>
    <col min="43" max="43" width="17.140625" style="148" hidden="1" customWidth="1"/>
    <col min="44" max="44" width="15.28515625" style="149" hidden="1" customWidth="1"/>
    <col min="45" max="45" width="4.7109375" style="150" hidden="1" customWidth="1"/>
    <col min="46" max="49" width="4.7109375" style="151" hidden="1" customWidth="1"/>
    <col min="50" max="52" width="9.140625" style="61" hidden="1" customWidth="1"/>
    <col min="53" max="53" width="0.140625" style="62" customWidth="1"/>
    <col min="54" max="54" width="3.28515625" style="10" customWidth="1"/>
    <col min="55" max="55" width="19.7109375" style="10" customWidth="1"/>
    <col min="56" max="58" width="3" style="10" customWidth="1"/>
    <col min="59" max="60" width="2" style="10" customWidth="1"/>
    <col min="61" max="61" width="3.28515625" style="10" customWidth="1"/>
    <col min="62" max="62" width="19.7109375" style="10" customWidth="1"/>
    <col min="63" max="65" width="3" style="10" customWidth="1"/>
    <col min="66" max="67" width="2" style="10" customWidth="1"/>
    <col min="68" max="68" width="3.28515625" style="10" customWidth="1"/>
    <col min="69" max="69" width="19.7109375" style="10" customWidth="1"/>
    <col min="70" max="72" width="3" style="10" customWidth="1"/>
    <col min="73" max="74" width="2" style="10" customWidth="1"/>
    <col min="75" max="75" width="3.28515625" style="10" customWidth="1"/>
    <col min="76" max="76" width="19.7109375" style="10" customWidth="1"/>
    <col min="77" max="79" width="3" style="10" customWidth="1"/>
    <col min="80" max="16384" width="9.140625" style="10"/>
  </cols>
  <sheetData>
    <row r="1" spans="1:79" ht="46.5" x14ac:dyDescent="0.25">
      <c r="A1" s="112" t="str">
        <f>INDEX(T,2,lang)</f>
        <v>2018 World Cup Final Tournament Schedule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S1" s="147"/>
      <c r="T1" s="147"/>
      <c r="U1" s="147"/>
      <c r="Z1" s="147"/>
      <c r="AB1" s="147"/>
      <c r="AD1" s="148"/>
      <c r="AE1" s="148"/>
      <c r="AF1" s="149"/>
      <c r="AG1" s="150"/>
      <c r="AH1" s="151"/>
      <c r="AI1" s="151"/>
      <c r="AJ1" s="151"/>
      <c r="AK1" s="15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</row>
    <row r="2" spans="1:79" ht="3" customHeight="1" x14ac:dyDescent="0.25">
      <c r="S2" s="147"/>
      <c r="T2" s="147"/>
      <c r="U2" s="147"/>
      <c r="Z2" s="147"/>
      <c r="AB2" s="147"/>
      <c r="AD2" s="148"/>
      <c r="AE2" s="148"/>
      <c r="AF2" s="149"/>
      <c r="AG2" s="150"/>
      <c r="AH2" s="151"/>
      <c r="AI2" s="151"/>
      <c r="AJ2" s="151"/>
      <c r="AK2" s="15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</row>
    <row r="3" spans="1:79" ht="12.75" customHeight="1" x14ac:dyDescent="0.25">
      <c r="A3" s="18"/>
      <c r="B3" s="18"/>
      <c r="C3" s="18"/>
      <c r="D3" s="18"/>
      <c r="E3" s="18"/>
      <c r="F3" s="18"/>
      <c r="G3" s="18"/>
      <c r="H3" s="105"/>
      <c r="I3" s="18"/>
      <c r="J3" s="18"/>
      <c r="K3" s="18"/>
      <c r="L3" s="18"/>
      <c r="M3" s="18"/>
      <c r="N3" s="18"/>
      <c r="O3" s="113" t="str">
        <f>"Language: " &amp; Settings!C4</f>
        <v>Language: English</v>
      </c>
      <c r="P3" s="113"/>
      <c r="S3" s="147"/>
      <c r="T3" s="147"/>
      <c r="U3" s="147"/>
      <c r="Z3" s="147"/>
      <c r="AB3" s="147"/>
      <c r="AD3" s="148"/>
      <c r="AE3" s="148"/>
      <c r="AF3" s="149"/>
      <c r="AG3" s="150"/>
      <c r="AH3" s="151"/>
      <c r="AI3" s="151"/>
      <c r="AJ3" s="151"/>
      <c r="AK3" s="15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</row>
    <row r="4" spans="1:79" ht="3" customHeight="1" x14ac:dyDescent="0.25"/>
    <row r="5" spans="1:79" ht="15" customHeight="1" x14ac:dyDescent="0.25">
      <c r="A5" s="114" t="str">
        <f>INDEX(T,3,lang)</f>
        <v>Group Stage</v>
      </c>
      <c r="B5" s="115"/>
      <c r="C5" s="115"/>
      <c r="D5" s="115"/>
      <c r="E5" s="115"/>
      <c r="F5" s="115"/>
      <c r="G5" s="115"/>
      <c r="H5" s="116"/>
      <c r="J5" s="120" t="s">
        <v>2171</v>
      </c>
      <c r="K5" s="121"/>
      <c r="L5" s="121"/>
      <c r="M5" s="121"/>
      <c r="N5" s="121"/>
      <c r="O5" s="121"/>
      <c r="P5" s="122"/>
    </row>
    <row r="6" spans="1:79" ht="15" customHeight="1" x14ac:dyDescent="0.25">
      <c r="A6" s="117"/>
      <c r="B6" s="118"/>
      <c r="C6" s="118"/>
      <c r="D6" s="118"/>
      <c r="E6" s="118"/>
      <c r="F6" s="118"/>
      <c r="G6" s="118"/>
      <c r="H6" s="119"/>
      <c r="J6" s="123"/>
      <c r="K6" s="124"/>
      <c r="L6" s="124"/>
      <c r="M6" s="124"/>
      <c r="N6" s="124"/>
      <c r="O6" s="124"/>
      <c r="P6" s="125"/>
      <c r="V6" s="147" t="s">
        <v>2172</v>
      </c>
      <c r="W6" s="147" t="s">
        <v>2173</v>
      </c>
      <c r="AA6" s="147" t="s">
        <v>2174</v>
      </c>
      <c r="AB6" s="147" t="s">
        <v>1004</v>
      </c>
      <c r="AC6" s="147" t="s">
        <v>337</v>
      </c>
      <c r="AD6" s="147" t="s">
        <v>374</v>
      </c>
      <c r="AE6" s="147" t="s">
        <v>307</v>
      </c>
      <c r="AF6" s="147" t="s">
        <v>2172</v>
      </c>
      <c r="AG6" s="147" t="s">
        <v>2173</v>
      </c>
      <c r="AH6" s="147" t="s">
        <v>2175</v>
      </c>
      <c r="AI6" s="147" t="s">
        <v>2175</v>
      </c>
      <c r="AK6" s="147" t="s">
        <v>2176</v>
      </c>
      <c r="AL6" s="147" t="s">
        <v>353</v>
      </c>
      <c r="AM6" s="147" t="s">
        <v>2579</v>
      </c>
      <c r="AN6" s="147" t="s">
        <v>2579</v>
      </c>
      <c r="AO6" s="147" t="s">
        <v>251</v>
      </c>
      <c r="AP6" s="147" t="s">
        <v>251</v>
      </c>
      <c r="AQ6" s="147" t="s">
        <v>2170</v>
      </c>
      <c r="AS6" s="150" t="s">
        <v>337</v>
      </c>
      <c r="AT6" s="151" t="s">
        <v>374</v>
      </c>
      <c r="AU6" s="151" t="s">
        <v>2172</v>
      </c>
      <c r="AV6" s="151" t="s">
        <v>2173</v>
      </c>
      <c r="AW6" s="151" t="s">
        <v>2177</v>
      </c>
      <c r="BB6" s="106" t="str">
        <f>INDEX(T,4,lang)</f>
        <v>Round of 16</v>
      </c>
      <c r="BC6" s="107"/>
      <c r="BD6" s="107"/>
      <c r="BE6" s="107"/>
      <c r="BF6" s="108"/>
      <c r="BI6" s="106" t="str">
        <f>INDEX(T,5,lang)</f>
        <v>Quarterfinals</v>
      </c>
      <c r="BJ6" s="107"/>
      <c r="BK6" s="107"/>
      <c r="BL6" s="107"/>
      <c r="BM6" s="108"/>
      <c r="BP6" s="106" t="str">
        <f>INDEX(T,6,lang)</f>
        <v>Semi-Finals</v>
      </c>
      <c r="BQ6" s="107"/>
      <c r="BR6" s="107"/>
      <c r="BS6" s="107"/>
      <c r="BT6" s="108"/>
      <c r="BW6" s="106" t="str">
        <f>INDEX(T,8,lang)</f>
        <v>Final</v>
      </c>
      <c r="BX6" s="107"/>
      <c r="BY6" s="107"/>
      <c r="BZ6" s="107"/>
      <c r="CA6" s="108"/>
    </row>
    <row r="7" spans="1:79" ht="15" customHeight="1" x14ac:dyDescent="0.25">
      <c r="A7" s="19">
        <v>1</v>
      </c>
      <c r="B7" s="20" t="str">
        <f t="shared" ref="B7:B54" si="0">INDEX(T,18+INT(MOD(R7-1,7)),lang)</f>
        <v>Thu</v>
      </c>
      <c r="C7" s="21" t="str">
        <f t="shared" ref="C7:C54" si="1">INDEX(T,24+MONTH(R7),lang) &amp; " " &amp; DAY(R7) &amp; ", " &amp; YEAR(R7)</f>
        <v>Jun 14, 2018</v>
      </c>
      <c r="D7" s="22">
        <f>TIME(HOUR(R7),MINUTE(R7),0)</f>
        <v>0.625</v>
      </c>
      <c r="E7" s="100" t="str">
        <f>AB8</f>
        <v>Russia</v>
      </c>
      <c r="F7" s="23">
        <v>5</v>
      </c>
      <c r="G7" s="24">
        <v>0</v>
      </c>
      <c r="H7" s="97" t="str">
        <f>AB9</f>
        <v>Saudi Arabia</v>
      </c>
      <c r="R7" s="153">
        <f>DATE(2018,6,14)+TIME(4,0,0)+gmt_delta</f>
        <v>43265.625</v>
      </c>
      <c r="S7" s="152" t="str">
        <f t="shared" ref="S7:S54" si="2">IF(OR(F7="",G7=""),"",IF(F7&gt;G7,E7&amp;"_win",IF(F7&lt;G7,E7&amp;"_lose",E7&amp;"_draw")))</f>
        <v>Russia_win</v>
      </c>
      <c r="T7" s="152" t="str">
        <f t="shared" ref="T7:T54" si="3">IF(S7="","",IF(F7&lt;G7,H7&amp;"_win",IF(F7&gt;G7,H7&amp;"_lose",H7&amp;"_draw")))</f>
        <v>Saudi Arabia_lose</v>
      </c>
      <c r="U7" s="148">
        <f t="shared" ref="U7:U54" si="4">IF(S7="",0,IF(VLOOKUP(E7,$AB$8:$AK$53,7,FALSE)=VLOOKUP(H7,$AB$8:$AK$53,7,FALSE),1,0))</f>
        <v>0</v>
      </c>
      <c r="V7" s="147">
        <f t="shared" ref="V7:V54" si="5">U7*F7</f>
        <v>0</v>
      </c>
      <c r="W7" s="147">
        <f t="shared" ref="W7:W54" si="6">U7*G7</f>
        <v>0</v>
      </c>
      <c r="X7" s="147">
        <f t="shared" ref="X7:X54" si="7">IF(OR(E7=my_team,H7=my_team),1,0)</f>
        <v>0</v>
      </c>
      <c r="Y7" s="147">
        <f>IF(OR(F7="",G7=""),"",IF(F7&gt;G7,1,IF(F7&lt;G7,-1,0)))</f>
        <v>1</v>
      </c>
      <c r="AN7" s="148" t="s">
        <v>2170</v>
      </c>
      <c r="AO7" s="148" t="s">
        <v>2583</v>
      </c>
      <c r="AP7" s="148" t="s">
        <v>2170</v>
      </c>
      <c r="BB7" s="109"/>
      <c r="BC7" s="110"/>
      <c r="BD7" s="110"/>
      <c r="BE7" s="110"/>
      <c r="BF7" s="111"/>
      <c r="BI7" s="109"/>
      <c r="BJ7" s="110"/>
      <c r="BK7" s="110"/>
      <c r="BL7" s="110"/>
      <c r="BM7" s="111"/>
      <c r="BP7" s="109"/>
      <c r="BQ7" s="110"/>
      <c r="BR7" s="110"/>
      <c r="BS7" s="110"/>
      <c r="BT7" s="111"/>
      <c r="BW7" s="109"/>
      <c r="BX7" s="110"/>
      <c r="BY7" s="110"/>
      <c r="BZ7" s="110"/>
      <c r="CA7" s="111"/>
    </row>
    <row r="8" spans="1:79" ht="15" customHeight="1" x14ac:dyDescent="0.25">
      <c r="A8" s="25">
        <v>2</v>
      </c>
      <c r="B8" s="26" t="str">
        <f t="shared" si="0"/>
        <v>Fri</v>
      </c>
      <c r="C8" s="27" t="str">
        <f t="shared" si="1"/>
        <v>Jun 15, 2018</v>
      </c>
      <c r="D8" s="28">
        <f t="shared" ref="D8:D54" si="8">TIME(HOUR(R8),MINUTE(R8),0)</f>
        <v>0.5</v>
      </c>
      <c r="E8" s="101" t="str">
        <f>AB10</f>
        <v>Egypt</v>
      </c>
      <c r="F8" s="29">
        <v>0</v>
      </c>
      <c r="G8" s="30">
        <v>1</v>
      </c>
      <c r="H8" s="98" t="str">
        <f>AB11</f>
        <v>Uruguay</v>
      </c>
      <c r="J8" s="71" t="str">
        <f>INDEX(T,9,lang) &amp; " " &amp; "A"</f>
        <v>Group A</v>
      </c>
      <c r="K8" s="72" t="str">
        <f>INDEX(T,10,lang)</f>
        <v>PL</v>
      </c>
      <c r="L8" s="72" t="str">
        <f>INDEX(T,11,lang)</f>
        <v>W</v>
      </c>
      <c r="M8" s="72" t="str">
        <f>INDEX(T,12,lang)</f>
        <v>DRAW</v>
      </c>
      <c r="N8" s="72" t="str">
        <f>INDEX(T,13,lang)</f>
        <v>L</v>
      </c>
      <c r="O8" s="72" t="str">
        <f>INDEX(T,14,lang)</f>
        <v>GF - GA</v>
      </c>
      <c r="P8" s="73" t="str">
        <f>INDEX(T,15,lang)</f>
        <v>PNT</v>
      </c>
      <c r="R8" s="147">
        <f>DATE(2018,6,15)+TIME(1,0,0)+gmt_delta</f>
        <v>43266.5</v>
      </c>
      <c r="S8" s="152" t="str">
        <f t="shared" si="2"/>
        <v>Egypt_lose</v>
      </c>
      <c r="T8" s="152" t="str">
        <f t="shared" si="3"/>
        <v>Uruguay_win</v>
      </c>
      <c r="U8" s="148">
        <f t="shared" si="4"/>
        <v>0</v>
      </c>
      <c r="V8" s="147">
        <f t="shared" si="5"/>
        <v>0</v>
      </c>
      <c r="W8" s="147">
        <f t="shared" si="6"/>
        <v>0</v>
      </c>
      <c r="X8" s="147">
        <f t="shared" si="7"/>
        <v>0</v>
      </c>
      <c r="Y8" s="147">
        <f t="shared" ref="Y8:Y54" si="9">IF(OR(F8="",G8=""),"",IF(F8&gt;G8,1,IF(F8&lt;G8,-1,0)))</f>
        <v>-1</v>
      </c>
      <c r="AA8" s="147">
        <f>COUNTIF(AQ8:AQ11,CONCATENATE("&gt;=",AQ8))</f>
        <v>2</v>
      </c>
      <c r="AB8" s="148" t="str">
        <f>VLOOKUP("Russia",T,lang,FALSE)</f>
        <v>Russia</v>
      </c>
      <c r="AC8" s="147">
        <f>COUNTIF($S$7:$T$54,"=" &amp; AB8 &amp; "_win")</f>
        <v>2</v>
      </c>
      <c r="AD8" s="147">
        <f>COUNTIF($S$7:$T$54,"=" &amp; AB8 &amp; "_draw")</f>
        <v>0</v>
      </c>
      <c r="AE8" s="147">
        <f>COUNTIF($S$7:$T$54,"=" &amp; AB8 &amp; "_lose")</f>
        <v>1</v>
      </c>
      <c r="AF8" s="147">
        <f>SUMIF($E$7:$E$54,$AB8,$F$7:$F$54) + SUMIF($H$7:$H$54,$AB8,$G$7:$G$54)</f>
        <v>8</v>
      </c>
      <c r="AG8" s="147">
        <f>SUMIF($E$7:$E$54,$AB8,$G$7:$G$54) + SUMIF($H$7:$H$54,$AB8,$F$7:$F$54)</f>
        <v>4</v>
      </c>
      <c r="AH8" s="147">
        <f>(AF8-AG8)+1</f>
        <v>5</v>
      </c>
      <c r="AI8" s="147">
        <f>AF8-AG8</f>
        <v>4</v>
      </c>
      <c r="AJ8" s="147">
        <f>(AI8-AI13)/AI12</f>
        <v>0.81818181818181823</v>
      </c>
      <c r="AK8" s="147">
        <f>AC8*3+AD8</f>
        <v>6</v>
      </c>
      <c r="AL8" s="147">
        <f>AS8/AS12*1000+AT8/AT12*100+AW8/AW12*10+AU8/AU12</f>
        <v>0</v>
      </c>
      <c r="AM8" s="147">
        <f>VLOOKUP(AB8,fair_play,2,FALSE)</f>
        <v>-1</v>
      </c>
      <c r="AN8" s="147">
        <f>COUNTIF($AM$8:$AM$11,CONCATENATE("&lt;=",AM8))</f>
        <v>4</v>
      </c>
      <c r="AO8" s="147">
        <f>VLOOKUP(AB8,fair_play,3,FALSE)</f>
        <v>23</v>
      </c>
      <c r="AP8" s="147">
        <f>COUNTIF($AO$8:$AO$11,CONCATENATE("&gt;=",AO8))</f>
        <v>3</v>
      </c>
      <c r="AQ8" s="148">
        <f>1000*AK8/AK12+100*AJ8+10*AF8/AF12+1*AL8/AL12+0.00001*AN8+0.000001*AP8</f>
        <v>693.24679624675332</v>
      </c>
      <c r="AR8" s="149" t="str">
        <f>IF(SUM(AC8:AE11)=12,J9,INDEX(T,70,lang))</f>
        <v>Uruguay</v>
      </c>
      <c r="AS8" s="150">
        <f>SUMPRODUCT(($S$7:$S$54=AB8&amp;"_win")*($U$7:$U$54))+SUMPRODUCT(($T$7:$T$54=AB8&amp;"_win")*($U$7:$U$54))</f>
        <v>0</v>
      </c>
      <c r="AT8" s="151">
        <f>SUMPRODUCT(($S$7:$S$54=AB8&amp;"_draw")*($U$7:$U$54))+SUMPRODUCT(($T$7:$T$54=AB8&amp;"_draw")*($U$7:$U$54))</f>
        <v>0</v>
      </c>
      <c r="AU8" s="151">
        <f>SUMPRODUCT(($E$7:$E$54=AB8)*($U$7:$U$54)*($F$7:$F$54))+SUMPRODUCT(($H$7:$H$54=AB8)*($U$7:$U$54)*($G$7:$G$54))</f>
        <v>0</v>
      </c>
      <c r="AV8" s="151">
        <f>SUMPRODUCT(($E$7:$E$54=AB8)*($U$7:$U$54)*($G$7:$G$54))+SUMPRODUCT(($H$7:$H$54=AB8)*($U$7:$U$54)*($F$7:$F$54))</f>
        <v>0</v>
      </c>
      <c r="AW8" s="151">
        <f>AU8-AV8</f>
        <v>0</v>
      </c>
      <c r="BJ8" s="31"/>
      <c r="BK8" s="31"/>
      <c r="BL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</row>
    <row r="9" spans="1:79" ht="15" customHeight="1" x14ac:dyDescent="0.25">
      <c r="A9" s="25">
        <v>3</v>
      </c>
      <c r="B9" s="26" t="str">
        <f t="shared" si="0"/>
        <v>Fri</v>
      </c>
      <c r="C9" s="27" t="str">
        <f t="shared" si="1"/>
        <v>Jun 15, 2018</v>
      </c>
      <c r="D9" s="28">
        <f t="shared" si="8"/>
        <v>0.75</v>
      </c>
      <c r="E9" s="101" t="str">
        <f>AB14</f>
        <v>Portugal</v>
      </c>
      <c r="F9" s="29">
        <v>3</v>
      </c>
      <c r="G9" s="30">
        <v>3</v>
      </c>
      <c r="H9" s="98" t="str">
        <f>AB15</f>
        <v>Spain</v>
      </c>
      <c r="J9" s="63" t="str">
        <f>VLOOKUP(1,AA8:AK11,2,FALSE)</f>
        <v>Uruguay</v>
      </c>
      <c r="K9" s="64">
        <f>L9+M9+N9</f>
        <v>3</v>
      </c>
      <c r="L9" s="64">
        <f>VLOOKUP(1,AA8:AK11,3,FALSE)</f>
        <v>3</v>
      </c>
      <c r="M9" s="64">
        <f>VLOOKUP(1,AA8:AK11,4,FALSE)</f>
        <v>0</v>
      </c>
      <c r="N9" s="64">
        <f>VLOOKUP(1,AA8:AK11,5,FALSE)</f>
        <v>0</v>
      </c>
      <c r="O9" s="64" t="str">
        <f>VLOOKUP(1,AA8:AK11,6,FALSE) &amp; " - " &amp; VLOOKUP(1,AA8:AK11,7,FALSE)</f>
        <v>5 - 0</v>
      </c>
      <c r="P9" s="65">
        <f>L9*3+M9</f>
        <v>9</v>
      </c>
      <c r="R9" s="147">
        <f>DATE(2018,6,15)+TIME(7,0,0)+gmt_delta</f>
        <v>43266.75</v>
      </c>
      <c r="S9" s="152" t="str">
        <f t="shared" si="2"/>
        <v>Portugal_draw</v>
      </c>
      <c r="T9" s="152" t="str">
        <f t="shared" si="3"/>
        <v>Spain_draw</v>
      </c>
      <c r="U9" s="148">
        <f t="shared" si="4"/>
        <v>0</v>
      </c>
      <c r="V9" s="147">
        <f t="shared" si="5"/>
        <v>0</v>
      </c>
      <c r="W9" s="147">
        <f t="shared" si="6"/>
        <v>0</v>
      </c>
      <c r="X9" s="147">
        <f t="shared" si="7"/>
        <v>0</v>
      </c>
      <c r="Y9" s="147">
        <f t="shared" si="9"/>
        <v>0</v>
      </c>
      <c r="AA9" s="147">
        <f>COUNTIF(AQ8:AQ11,CONCATENATE("&gt;=",AQ9))</f>
        <v>3</v>
      </c>
      <c r="AB9" s="148" t="str">
        <f>VLOOKUP("Saudi Arabia",T,lang,FALSE)</f>
        <v>Saudi Arabia</v>
      </c>
      <c r="AC9" s="147">
        <f>COUNTIF($S$7:$T$54,"=" &amp; AB9 &amp; "_win")</f>
        <v>1</v>
      </c>
      <c r="AD9" s="147">
        <f>COUNTIF($S$7:$T$54,"=" &amp; AB9 &amp; "_draw")</f>
        <v>0</v>
      </c>
      <c r="AE9" s="147">
        <f>COUNTIF($S$7:$T$54,"=" &amp; AB9 &amp; "_lose")</f>
        <v>2</v>
      </c>
      <c r="AF9" s="147">
        <f>SUMIF($E$7:$E$54,$AB9,$F$7:$F$54) + SUMIF($H$7:$H$54,$AB9,$G$7:$G$54)</f>
        <v>2</v>
      </c>
      <c r="AG9" s="147">
        <f>SUMIF($E$7:$E$54,$AB9,$G$7:$G$54) + SUMIF($H$7:$H$54,$AB9,$F$7:$F$54)</f>
        <v>7</v>
      </c>
      <c r="AH9" s="147">
        <f>(AF9-AG9)+1</f>
        <v>-4</v>
      </c>
      <c r="AI9" s="147">
        <f>AF9-AG9</f>
        <v>-5</v>
      </c>
      <c r="AJ9" s="147">
        <f>(AI9-AI13)/AI12</f>
        <v>0</v>
      </c>
      <c r="AK9" s="147">
        <f>AC9*3+AD9</f>
        <v>3</v>
      </c>
      <c r="AL9" s="147">
        <f>AS9/AS12*1000+AT9/AT12*100+AW9/AW12*10+AU9/AU12</f>
        <v>0</v>
      </c>
      <c r="AM9" s="147">
        <f>VLOOKUP(AB9,fair_play,2,FALSE)</f>
        <v>-5</v>
      </c>
      <c r="AN9" s="147">
        <f t="shared" ref="AN9:AN11" si="10">COUNTIF($AM$8:$AM$11,CONCATENATE("&lt;=",AM9))</f>
        <v>2</v>
      </c>
      <c r="AO9" s="147">
        <f>VLOOKUP(AB9,fair_play,3,FALSE)</f>
        <v>24</v>
      </c>
      <c r="AP9" s="147">
        <f t="shared" ref="AP9:AP11" si="11">COUNTIF($AO$8:$AO$11,CONCATENATE("&gt;=",AO9))</f>
        <v>2</v>
      </c>
      <c r="AQ9" s="148">
        <f>1000*AK9/AK12+100*AJ9+10*AF9/AF12+1*AL9/AL12+0.00001*AN9+0.000001*AP9</f>
        <v>302.85716485714283</v>
      </c>
      <c r="AR9" s="149" t="str">
        <f>IF(SUM(AC8:AE11)=12,J10,INDEX(T,71,lang))</f>
        <v>Russia</v>
      </c>
      <c r="AS9" s="150">
        <f>SUMPRODUCT(($S$7:$S$54=AB9&amp;"_win")*($U$7:$U$54))+SUMPRODUCT(($T$7:$T$54=AB9&amp;"_win")*($U$7:$U$54))</f>
        <v>0</v>
      </c>
      <c r="AT9" s="151">
        <f>SUMPRODUCT(($S$7:$S$54=AB9&amp;"_draw")*($U$7:$U$54))+SUMPRODUCT(($T$7:$T$54=AB9&amp;"_draw")*($U$7:$U$54))</f>
        <v>0</v>
      </c>
      <c r="AU9" s="151">
        <f>SUMPRODUCT(($E$7:$E$54=AB9)*($U$7:$U$54)*($F$7:$F$54))+SUMPRODUCT(($H$7:$H$54=AB9)*($U$7:$U$54)*($G$7:$G$54))</f>
        <v>0</v>
      </c>
      <c r="AV9" s="151">
        <f>SUMPRODUCT(($E$7:$E$54=AB9)*($U$7:$U$54)*($G$7:$G$54))+SUMPRODUCT(($H$7:$H$54=AB9)*($U$7:$U$54)*($F$7:$F$54))</f>
        <v>0</v>
      </c>
      <c r="AW9" s="151">
        <f>AU9-AV9</f>
        <v>0</v>
      </c>
      <c r="BB9" s="31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31"/>
      <c r="BD9" s="31"/>
      <c r="BE9" s="31"/>
      <c r="BF9" s="32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</row>
    <row r="10" spans="1:79" ht="15" customHeight="1" x14ac:dyDescent="0.25">
      <c r="A10" s="25">
        <v>4</v>
      </c>
      <c r="B10" s="26" t="str">
        <f t="shared" si="0"/>
        <v>Fri</v>
      </c>
      <c r="C10" s="27" t="str">
        <f t="shared" si="1"/>
        <v>Jun 15, 2018</v>
      </c>
      <c r="D10" s="28">
        <f t="shared" si="8"/>
        <v>0.625</v>
      </c>
      <c r="E10" s="101" t="str">
        <f>AB16</f>
        <v>Morocco</v>
      </c>
      <c r="F10" s="29">
        <v>0</v>
      </c>
      <c r="G10" s="30">
        <v>1</v>
      </c>
      <c r="H10" s="98" t="str">
        <f>AB17</f>
        <v>Iran</v>
      </c>
      <c r="J10" s="66" t="str">
        <f>VLOOKUP(2,AA8:AK11,2,FALSE)</f>
        <v>Russia</v>
      </c>
      <c r="K10" s="33">
        <f>L10+M10+N10</f>
        <v>3</v>
      </c>
      <c r="L10" s="33">
        <f>VLOOKUP(2,AA8:AK11,3,FALSE)</f>
        <v>2</v>
      </c>
      <c r="M10" s="33">
        <f>VLOOKUP(2,AA8:AK11,4,FALSE)</f>
        <v>0</v>
      </c>
      <c r="N10" s="33">
        <f>VLOOKUP(2,AA8:AK11,5,FALSE)</f>
        <v>1</v>
      </c>
      <c r="O10" s="33" t="str">
        <f>VLOOKUP(2,AA8:AK11,6,FALSE) &amp; " - " &amp; VLOOKUP(2,AA8:AK11,7,FALSE)</f>
        <v>8 - 4</v>
      </c>
      <c r="P10" s="67">
        <f>L10*3+M10</f>
        <v>6</v>
      </c>
      <c r="R10" s="147">
        <f>DATE(2018,6,15)+TIME(4,0,0)+gmt_delta</f>
        <v>43266.625</v>
      </c>
      <c r="S10" s="152" t="str">
        <f t="shared" si="2"/>
        <v>Morocco_lose</v>
      </c>
      <c r="T10" s="152" t="str">
        <f t="shared" si="3"/>
        <v>Iran_win</v>
      </c>
      <c r="U10" s="148">
        <f t="shared" si="4"/>
        <v>0</v>
      </c>
      <c r="V10" s="147">
        <f t="shared" si="5"/>
        <v>0</v>
      </c>
      <c r="W10" s="147">
        <f t="shared" si="6"/>
        <v>0</v>
      </c>
      <c r="X10" s="147">
        <f t="shared" si="7"/>
        <v>0</v>
      </c>
      <c r="Y10" s="147">
        <f t="shared" si="9"/>
        <v>-1</v>
      </c>
      <c r="AA10" s="147">
        <f>COUNTIF(AQ8:AQ11,CONCATENATE("&gt;=",AQ10))</f>
        <v>4</v>
      </c>
      <c r="AB10" s="148" t="str">
        <f>VLOOKUP("Egypt",T,lang,FALSE)</f>
        <v>Egypt</v>
      </c>
      <c r="AC10" s="147">
        <f>COUNTIF($S$7:$T$54,"=" &amp; AB10 &amp; "_win")</f>
        <v>0</v>
      </c>
      <c r="AD10" s="147">
        <f>COUNTIF($S$7:$T$54,"=" &amp; AB10 &amp; "_draw")</f>
        <v>0</v>
      </c>
      <c r="AE10" s="147">
        <f>COUNTIF($S$7:$T$54,"=" &amp; AB10 &amp; "_lose")</f>
        <v>3</v>
      </c>
      <c r="AF10" s="147">
        <f>SUMIF($E$7:$E$54,$AB10,$F$7:$F$54) + SUMIF($H$7:$H$54,$AB10,$G$7:$G$54)</f>
        <v>2</v>
      </c>
      <c r="AG10" s="147">
        <f>SUMIF($E$7:$E$54,$AB10,$G$7:$G$54) + SUMIF($H$7:$H$54,$AB10,$F$7:$F$54)</f>
        <v>6</v>
      </c>
      <c r="AH10" s="147">
        <f>(AF10-AG10)+1</f>
        <v>-3</v>
      </c>
      <c r="AI10" s="147">
        <f>AF10-AG10</f>
        <v>-4</v>
      </c>
      <c r="AJ10" s="147">
        <f>(AI10-AI13)/AI12</f>
        <v>9.0909090909090912E-2</v>
      </c>
      <c r="AK10" s="147">
        <f>AC10*3+AD10</f>
        <v>0</v>
      </c>
      <c r="AL10" s="147">
        <f>AS10/AS12*1000+AT10/AT12*100+AW10/AW12*10+AU10/AU12</f>
        <v>0</v>
      </c>
      <c r="AM10" s="147">
        <f>VLOOKUP(AB10,fair_play,2,FALSE)</f>
        <v>-5</v>
      </c>
      <c r="AN10" s="147">
        <f t="shared" si="10"/>
        <v>2</v>
      </c>
      <c r="AO10" s="147">
        <f>VLOOKUP(AB10,fair_play,3,FALSE)</f>
        <v>8</v>
      </c>
      <c r="AP10" s="147">
        <f t="shared" si="11"/>
        <v>4</v>
      </c>
      <c r="AQ10" s="148">
        <f>1000*AK10/AK12+100*AJ10+10*AF10/AF12+1*AL10/AL12+0.00001*AN10+0.000001*AP10</f>
        <v>11.948075948051949</v>
      </c>
      <c r="AS10" s="150">
        <f>SUMPRODUCT(($S$7:$S$54=AB10&amp;"_win")*($U$7:$U$54))+SUMPRODUCT(($T$7:$T$54=AB10&amp;"_win")*($U$7:$U$54))</f>
        <v>0</v>
      </c>
      <c r="AT10" s="151">
        <f>SUMPRODUCT(($S$7:$S$54=AB10&amp;"_draw")*($U$7:$U$54))+SUMPRODUCT(($T$7:$T$54=AB10&amp;"_draw")*($U$7:$U$54))</f>
        <v>0</v>
      </c>
      <c r="AU10" s="151">
        <f>SUMPRODUCT(($E$7:$E$54=AB10)*($U$7:$U$54)*($F$7:$F$54))+SUMPRODUCT(($H$7:$H$54=AB10)*($U$7:$U$54)*($G$7:$G$54))</f>
        <v>0</v>
      </c>
      <c r="AV10" s="151">
        <f>SUMPRODUCT(($E$7:$E$54=AB10)*($U$7:$U$54)*($G$7:$G$54))+SUMPRODUCT(($H$7:$H$54=AB10)*($U$7:$U$54)*($F$7:$F$54))</f>
        <v>0</v>
      </c>
      <c r="AW10" s="151">
        <f>AU10-AV10</f>
        <v>0</v>
      </c>
      <c r="BB10" s="126">
        <v>49</v>
      </c>
      <c r="BC10" s="34" t="str">
        <f>AR8</f>
        <v>Uruguay</v>
      </c>
      <c r="BD10" s="93"/>
      <c r="BE10" s="95"/>
      <c r="BF10" s="35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</row>
    <row r="11" spans="1:79" ht="15" customHeight="1" x14ac:dyDescent="0.25">
      <c r="A11" s="25">
        <v>5</v>
      </c>
      <c r="B11" s="26" t="str">
        <f t="shared" si="0"/>
        <v>Sat</v>
      </c>
      <c r="C11" s="27" t="str">
        <f t="shared" si="1"/>
        <v>Jun 16, 2018</v>
      </c>
      <c r="D11" s="28">
        <f t="shared" si="8"/>
        <v>0.41666666666666669</v>
      </c>
      <c r="E11" s="101" t="str">
        <f>AB20</f>
        <v>France</v>
      </c>
      <c r="F11" s="29">
        <v>2</v>
      </c>
      <c r="G11" s="30">
        <v>1</v>
      </c>
      <c r="H11" s="98" t="str">
        <f>AB21</f>
        <v>Australia</v>
      </c>
      <c r="J11" s="66" t="str">
        <f>VLOOKUP(3,AA8:AK11,2,FALSE)</f>
        <v>Saudi Arabia</v>
      </c>
      <c r="K11" s="33">
        <f>L11+M11+N11</f>
        <v>3</v>
      </c>
      <c r="L11" s="33">
        <f>VLOOKUP(3,AA8:AK11,3,FALSE)</f>
        <v>1</v>
      </c>
      <c r="M11" s="33">
        <f>VLOOKUP(3,AA8:AK11,4,FALSE)</f>
        <v>0</v>
      </c>
      <c r="N11" s="33">
        <f>VLOOKUP(3,AA8:AK11,5,FALSE)</f>
        <v>2</v>
      </c>
      <c r="O11" s="33" t="str">
        <f>VLOOKUP(3,AA8:AK11,6,FALSE) &amp; " - " &amp; VLOOKUP(3,AA8:AK11,7,FALSE)</f>
        <v>2 - 7</v>
      </c>
      <c r="P11" s="67">
        <f>L11*3+M11</f>
        <v>3</v>
      </c>
      <c r="R11" s="147">
        <f>DATE(2018,6,15)+TIME(23,0,0)+gmt_delta</f>
        <v>43267.416666666672</v>
      </c>
      <c r="S11" s="152" t="str">
        <f t="shared" si="2"/>
        <v>France_win</v>
      </c>
      <c r="T11" s="152" t="str">
        <f t="shared" si="3"/>
        <v>Australia_lose</v>
      </c>
      <c r="U11" s="148">
        <f t="shared" si="4"/>
        <v>0</v>
      </c>
      <c r="V11" s="147">
        <f t="shared" si="5"/>
        <v>0</v>
      </c>
      <c r="W11" s="147">
        <f t="shared" si="6"/>
        <v>0</v>
      </c>
      <c r="X11" s="147">
        <f t="shared" si="7"/>
        <v>0</v>
      </c>
      <c r="Y11" s="147">
        <f t="shared" si="9"/>
        <v>1</v>
      </c>
      <c r="AA11" s="147">
        <f>COUNTIF(AQ8:AQ11,CONCATENATE("&gt;=",AQ11))</f>
        <v>1</v>
      </c>
      <c r="AB11" s="148" t="str">
        <f>VLOOKUP("Uruguay",T,lang,FALSE)</f>
        <v>Uruguay</v>
      </c>
      <c r="AC11" s="147">
        <f>COUNTIF($S$7:$T$54,"=" &amp; AB11 &amp; "_win")</f>
        <v>3</v>
      </c>
      <c r="AD11" s="147">
        <f>COUNTIF($S$7:$T$54,"=" &amp; AB11 &amp; "_draw")</f>
        <v>0</v>
      </c>
      <c r="AE11" s="147">
        <f>COUNTIF($S$7:$T$54,"=" &amp; AB11 &amp; "_lose")</f>
        <v>0</v>
      </c>
      <c r="AF11" s="147">
        <f>SUMIF($E$7:$E$54,$AB11,$F$7:$F$54) + SUMIF($H$7:$H$54,$AB11,$G$7:$G$54)</f>
        <v>5</v>
      </c>
      <c r="AG11" s="147">
        <f>SUMIF($E$7:$E$54,$AB11,$G$7:$G$54) + SUMIF($H$7:$H$54,$AB11,$F$7:$F$54)</f>
        <v>0</v>
      </c>
      <c r="AH11" s="147">
        <f>(AF11-AG11)+1</f>
        <v>6</v>
      </c>
      <c r="AI11" s="147">
        <f>AF11-AG11</f>
        <v>5</v>
      </c>
      <c r="AJ11" s="147">
        <f>(AI11-AI13)/AI12</f>
        <v>0.90909090909090906</v>
      </c>
      <c r="AK11" s="147">
        <f>AC11*3+AD11</f>
        <v>9</v>
      </c>
      <c r="AL11" s="147">
        <f>AS11/AS12*1000+AT11/AT12*100+AW11/AW12*10+AU11/AU12</f>
        <v>0</v>
      </c>
      <c r="AM11" s="147">
        <f>VLOOKUP(AB11,fair_play,2,FALSE)</f>
        <v>-1</v>
      </c>
      <c r="AN11" s="147">
        <f t="shared" si="10"/>
        <v>4</v>
      </c>
      <c r="AO11" s="147">
        <f>VLOOKUP(AB11,fair_play,3,FALSE)</f>
        <v>31</v>
      </c>
      <c r="AP11" s="147">
        <f t="shared" si="11"/>
        <v>1</v>
      </c>
      <c r="AQ11" s="148">
        <f>1000*AK11/AK12+100*AJ11+10*AF11/AF12+1*AL11/AL12+0.00001*AN11+0.000001*AP11</f>
        <v>998.051989051948</v>
      </c>
      <c r="AS11" s="150">
        <f>SUMPRODUCT(($S$7:$S$54=AB11&amp;"_win")*($U$7:$U$54))+SUMPRODUCT(($T$7:$T$54=AB11&amp;"_win")*($U$7:$U$54))</f>
        <v>0</v>
      </c>
      <c r="AT11" s="151">
        <f>SUMPRODUCT(($S$7:$S$54=AB11&amp;"_draw")*($U$7:$U$54))+SUMPRODUCT(($T$7:$T$54=AB11&amp;"_draw")*($U$7:$U$54))</f>
        <v>0</v>
      </c>
      <c r="AU11" s="151">
        <f>SUMPRODUCT(($E$7:$E$54=AB11)*($U$7:$U$54)*($F$7:$F$54))+SUMPRODUCT(($H$7:$H$54=AB11)*($U$7:$U$54)*($G$7:$G$54))</f>
        <v>0</v>
      </c>
      <c r="AV11" s="151">
        <f>SUMPRODUCT(($E$7:$E$54=AB11)*($U$7:$U$54)*($G$7:$G$54))+SUMPRODUCT(($H$7:$H$54=AB11)*($U$7:$U$54)*($F$7:$F$54))</f>
        <v>0</v>
      </c>
      <c r="AW11" s="151">
        <f>AU11-AV11</f>
        <v>0</v>
      </c>
      <c r="BB11" s="127"/>
      <c r="BC11" s="36" t="str">
        <f>AR15</f>
        <v>Portugal</v>
      </c>
      <c r="BD11" s="94"/>
      <c r="BE11" s="96"/>
      <c r="BF11" s="38"/>
      <c r="BG11" s="39"/>
      <c r="BH11" s="31"/>
      <c r="BI11" s="31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31"/>
      <c r="BK11" s="31"/>
      <c r="BL11" s="31"/>
      <c r="BM11" s="4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</row>
    <row r="12" spans="1:79" ht="15" customHeight="1" x14ac:dyDescent="0.25">
      <c r="A12" s="25">
        <v>6</v>
      </c>
      <c r="B12" s="26" t="str">
        <f t="shared" si="0"/>
        <v>Sat</v>
      </c>
      <c r="C12" s="27" t="str">
        <f t="shared" si="1"/>
        <v>Jun 16, 2018</v>
      </c>
      <c r="D12" s="28">
        <f t="shared" si="8"/>
        <v>0.66666666666666663</v>
      </c>
      <c r="E12" s="101" t="str">
        <f>AB22</f>
        <v>Peru</v>
      </c>
      <c r="F12" s="29">
        <v>0</v>
      </c>
      <c r="G12" s="30">
        <v>1</v>
      </c>
      <c r="H12" s="98" t="str">
        <f>AB23</f>
        <v>Denmark</v>
      </c>
      <c r="J12" s="68" t="str">
        <f>VLOOKUP(4,AA8:AK11,2,FALSE)</f>
        <v>Egypt</v>
      </c>
      <c r="K12" s="69">
        <f>L12+M12+N12</f>
        <v>3</v>
      </c>
      <c r="L12" s="69">
        <f>VLOOKUP(4,AA8:AK11,3,FALSE)</f>
        <v>0</v>
      </c>
      <c r="M12" s="69">
        <f>VLOOKUP(4,AA8:AK11,4,FALSE)</f>
        <v>0</v>
      </c>
      <c r="N12" s="69">
        <f>VLOOKUP(4,AA8:AK11,5,FALSE)</f>
        <v>3</v>
      </c>
      <c r="O12" s="69" t="str">
        <f>VLOOKUP(4,AA8:AK11,6,FALSE) &amp; " - " &amp; VLOOKUP(4,AA8:AK11,7,FALSE)</f>
        <v>2 - 6</v>
      </c>
      <c r="P12" s="70">
        <f>L12*3+M12</f>
        <v>0</v>
      </c>
      <c r="R12" s="147">
        <f>DATE(2018,6,16)+TIME(5,0,0)+gmt_delta</f>
        <v>43267.666666666672</v>
      </c>
      <c r="S12" s="152" t="str">
        <f t="shared" si="2"/>
        <v>Peru_lose</v>
      </c>
      <c r="T12" s="152" t="str">
        <f t="shared" si="3"/>
        <v>Denmark_win</v>
      </c>
      <c r="U12" s="148">
        <f t="shared" si="4"/>
        <v>0</v>
      </c>
      <c r="V12" s="147">
        <f t="shared" si="5"/>
        <v>0</v>
      </c>
      <c r="W12" s="147">
        <f t="shared" si="6"/>
        <v>0</v>
      </c>
      <c r="X12" s="147">
        <f t="shared" si="7"/>
        <v>0</v>
      </c>
      <c r="Y12" s="147">
        <f t="shared" si="9"/>
        <v>-1</v>
      </c>
      <c r="AC12" s="147">
        <f t="shared" ref="AC12:AL12" si="12">MAX(AC8:AC11)-MIN(AC8:AC11)+1</f>
        <v>4</v>
      </c>
      <c r="AD12" s="147">
        <f t="shared" si="12"/>
        <v>1</v>
      </c>
      <c r="AE12" s="147">
        <f t="shared" si="12"/>
        <v>4</v>
      </c>
      <c r="AF12" s="147">
        <f t="shared" si="12"/>
        <v>7</v>
      </c>
      <c r="AG12" s="147">
        <f t="shared" si="12"/>
        <v>8</v>
      </c>
      <c r="AH12" s="147">
        <f>MAX(AH8:AH11)-AH13+1</f>
        <v>11</v>
      </c>
      <c r="AI12" s="147">
        <f>MAX(AI8:AI11)-AI13+1</f>
        <v>11</v>
      </c>
      <c r="AK12" s="147">
        <f t="shared" si="12"/>
        <v>10</v>
      </c>
      <c r="AL12" s="147">
        <f t="shared" si="12"/>
        <v>1</v>
      </c>
      <c r="AM12" s="147"/>
      <c r="AN12" s="147"/>
      <c r="AO12" s="147"/>
      <c r="AP12" s="147"/>
      <c r="AS12" s="147">
        <f>MAX(AS8:AS11)-MIN(AS8:AS11)+1</f>
        <v>1</v>
      </c>
      <c r="AT12" s="147">
        <f>MAX(AT8:AT11)-MIN(AT8:AT11)+1</f>
        <v>1</v>
      </c>
      <c r="AU12" s="147">
        <f>MAX(AU8:AU11)-MIN(AU8:AU11)+1</f>
        <v>1</v>
      </c>
      <c r="AV12" s="147">
        <f>MAX(AV8:AV11)-MIN(AV8:AV11)+1</f>
        <v>1</v>
      </c>
      <c r="AW12" s="147">
        <f>MAX(AW8:AW11)-MIN(AW8:AW11)+1</f>
        <v>1</v>
      </c>
      <c r="BB12" s="31"/>
      <c r="BC12" s="31"/>
      <c r="BD12" s="31"/>
      <c r="BE12" s="31"/>
      <c r="BF12" s="31"/>
      <c r="BG12" s="41"/>
      <c r="BH12" s="31"/>
      <c r="BI12" s="126">
        <v>57</v>
      </c>
      <c r="BJ12" s="34" t="str">
        <f>T58</f>
        <v>W49</v>
      </c>
      <c r="BK12" s="93"/>
      <c r="BL12" s="95"/>
      <c r="BM12" s="3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</row>
    <row r="13" spans="1:79" ht="15" customHeight="1" x14ac:dyDescent="0.25">
      <c r="A13" s="25">
        <v>7</v>
      </c>
      <c r="B13" s="26" t="str">
        <f t="shared" si="0"/>
        <v>Sat</v>
      </c>
      <c r="C13" s="27" t="str">
        <f t="shared" si="1"/>
        <v>Jun 16, 2018</v>
      </c>
      <c r="D13" s="28">
        <f t="shared" si="8"/>
        <v>0.54166666666666663</v>
      </c>
      <c r="E13" s="101" t="str">
        <f>AB26</f>
        <v>Argentina</v>
      </c>
      <c r="F13" s="29">
        <v>1</v>
      </c>
      <c r="G13" s="30">
        <v>1</v>
      </c>
      <c r="H13" s="98" t="str">
        <f>AB27</f>
        <v>Iceland</v>
      </c>
      <c r="J13" s="42"/>
      <c r="K13" s="43"/>
      <c r="L13" s="43"/>
      <c r="M13" s="43"/>
      <c r="N13" s="43"/>
      <c r="O13" s="43"/>
      <c r="P13" s="43"/>
      <c r="R13" s="147">
        <f>DATE(2018,6,16)+TIME(2,0,0)+gmt_delta</f>
        <v>43267.541666666672</v>
      </c>
      <c r="S13" s="152" t="str">
        <f t="shared" si="2"/>
        <v>Argentina_draw</v>
      </c>
      <c r="T13" s="152" t="str">
        <f t="shared" si="3"/>
        <v>Iceland_draw</v>
      </c>
      <c r="U13" s="148">
        <f t="shared" si="4"/>
        <v>0</v>
      </c>
      <c r="V13" s="147">
        <f t="shared" si="5"/>
        <v>0</v>
      </c>
      <c r="W13" s="147">
        <f t="shared" si="6"/>
        <v>0</v>
      </c>
      <c r="X13" s="147">
        <f t="shared" si="7"/>
        <v>1</v>
      </c>
      <c r="Y13" s="147">
        <f t="shared" si="9"/>
        <v>0</v>
      </c>
      <c r="AH13" s="147">
        <f>MIN(AH8:AH11)</f>
        <v>-4</v>
      </c>
      <c r="AI13" s="147">
        <f>MIN(AI8:AI11)</f>
        <v>-5</v>
      </c>
      <c r="AO13" s="147"/>
      <c r="AP13" s="147"/>
      <c r="BB13" s="31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31"/>
      <c r="BD13" s="31"/>
      <c r="BE13" s="31"/>
      <c r="BF13" s="40"/>
      <c r="BG13" s="41"/>
      <c r="BH13" s="44"/>
      <c r="BI13" s="127"/>
      <c r="BJ13" s="36" t="str">
        <f>T59</f>
        <v>W50</v>
      </c>
      <c r="BK13" s="94"/>
      <c r="BL13" s="96"/>
      <c r="BM13" s="38"/>
      <c r="BN13" s="39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</row>
    <row r="14" spans="1:79" ht="15" customHeight="1" x14ac:dyDescent="0.25">
      <c r="A14" s="25">
        <v>8</v>
      </c>
      <c r="B14" s="26" t="str">
        <f t="shared" si="0"/>
        <v>Sat</v>
      </c>
      <c r="C14" s="27" t="str">
        <f t="shared" si="1"/>
        <v>Jun 16, 2018</v>
      </c>
      <c r="D14" s="28">
        <f t="shared" si="8"/>
        <v>0.79166666666666663</v>
      </c>
      <c r="E14" s="101" t="str">
        <f>AB28</f>
        <v>Croatia</v>
      </c>
      <c r="F14" s="29">
        <v>2</v>
      </c>
      <c r="G14" s="30">
        <v>0</v>
      </c>
      <c r="H14" s="98" t="str">
        <f>AB29</f>
        <v>Nigeria</v>
      </c>
      <c r="J14" s="71" t="str">
        <f>INDEX(T,9,lang) &amp; " " &amp; "B"</f>
        <v>Group B</v>
      </c>
      <c r="K14" s="72" t="str">
        <f>INDEX(T,10,lang)</f>
        <v>PL</v>
      </c>
      <c r="L14" s="72" t="str">
        <f>INDEX(T,11,lang)</f>
        <v>W</v>
      </c>
      <c r="M14" s="72" t="str">
        <f>INDEX(T,12,lang)</f>
        <v>DRAW</v>
      </c>
      <c r="N14" s="72" t="str">
        <f>INDEX(T,13,lang)</f>
        <v>L</v>
      </c>
      <c r="O14" s="72" t="str">
        <f>INDEX(T,14,lang)</f>
        <v>GF - GA</v>
      </c>
      <c r="P14" s="73" t="str">
        <f>INDEX(T,15,lang)</f>
        <v>PNT</v>
      </c>
      <c r="R14" s="147">
        <f>DATE(2018,6,16)+TIME(8,0,0)+gmt_delta</f>
        <v>43267.791666666672</v>
      </c>
      <c r="S14" s="152" t="str">
        <f t="shared" si="2"/>
        <v>Croatia_win</v>
      </c>
      <c r="T14" s="152" t="str">
        <f t="shared" si="3"/>
        <v>Nigeria_lose</v>
      </c>
      <c r="U14" s="148">
        <f t="shared" si="4"/>
        <v>0</v>
      </c>
      <c r="V14" s="147">
        <f t="shared" si="5"/>
        <v>0</v>
      </c>
      <c r="W14" s="147">
        <f t="shared" si="6"/>
        <v>0</v>
      </c>
      <c r="X14" s="147">
        <f t="shared" si="7"/>
        <v>0</v>
      </c>
      <c r="Y14" s="147">
        <f t="shared" si="9"/>
        <v>1</v>
      </c>
      <c r="AA14" s="147">
        <f>COUNTIF(AQ14:AQ17,CONCATENATE("&gt;=",AQ14))</f>
        <v>2</v>
      </c>
      <c r="AB14" s="148" t="str">
        <f>VLOOKUP("Portugal",T,lang,FALSE)</f>
        <v>Portugal</v>
      </c>
      <c r="AC14" s="147">
        <f>COUNTIF($S$7:$T$54,"=" &amp; AB14 &amp; "_win")</f>
        <v>1</v>
      </c>
      <c r="AD14" s="147">
        <f>COUNTIF($S$7:$T$54,"=" &amp; AB14 &amp; "_draw")</f>
        <v>2</v>
      </c>
      <c r="AE14" s="147">
        <f>COUNTIF($S$7:$T$54,"=" &amp; AB14 &amp; "_lose")</f>
        <v>0</v>
      </c>
      <c r="AF14" s="147">
        <f>SUMIF($E$7:$E$54,$AB14,$F$7:$F$54) + SUMIF($H$7:$H$54,$AB14,$G$7:$G$54)</f>
        <v>5</v>
      </c>
      <c r="AG14" s="147">
        <f>SUMIF($E$7:$E$54,$AB14,$G$7:$G$54) + SUMIF($H$7:$H$54,$AB14,$F$7:$F$54)</f>
        <v>4</v>
      </c>
      <c r="AH14" s="147">
        <f>(AF14-AG14)*100+AK14*10000+AF14</f>
        <v>50105</v>
      </c>
      <c r="AI14" s="147">
        <f>AF14-AG14</f>
        <v>1</v>
      </c>
      <c r="AJ14" s="147">
        <f>(AI14-AI19)/AI18</f>
        <v>0.75</v>
      </c>
      <c r="AK14" s="147">
        <f>AC14*3+AD14</f>
        <v>5</v>
      </c>
      <c r="AL14" s="147">
        <f>AS14/AS18*1000+AT14/AT18*100+AW14/AW18*10+AU14/AU18</f>
        <v>0</v>
      </c>
      <c r="AM14" s="147">
        <f>VLOOKUP(AB14,fair_play,2,FALSE)</f>
        <v>-6</v>
      </c>
      <c r="AN14" s="147">
        <f>COUNTIF($AM$14:$AM$17,CONCATENATE("&lt;=",AM14))</f>
        <v>2</v>
      </c>
      <c r="AO14" s="147">
        <f>VLOOKUP(AB14,fair_play,3,FALSE)</f>
        <v>22</v>
      </c>
      <c r="AP14" s="147">
        <f>COUNTIF($AO$14:$AO$17,CONCATENATE("&gt;=",AO14))</f>
        <v>2</v>
      </c>
      <c r="AQ14" s="148">
        <f>1000*AK14/AK18+100*AJ14+10*AF14/AF18+1*AL14/AL18+0.00001*AN14+0.000001*AP14</f>
        <v>1085.0000219999999</v>
      </c>
      <c r="AR14" s="149" t="str">
        <f>IF(SUM(AC14:AE17)=12,J15,INDEX(T,72,lang))</f>
        <v>Spain</v>
      </c>
      <c r="AS14" s="150">
        <f>SUMPRODUCT(($S$7:$S$54=AB14&amp;"_win")*($U$7:$U$54))+SUMPRODUCT(($T$7:$T$54=AB14&amp;"_win")*($U$7:$U$54))</f>
        <v>0</v>
      </c>
      <c r="AT14" s="151">
        <f>SUMPRODUCT(($S$7:$S$54=AB14&amp;"_draw")*($U$7:$U$54))+SUMPRODUCT(($T$7:$T$54=AB14&amp;"_draw")*($U$7:$U$54))</f>
        <v>0</v>
      </c>
      <c r="AU14" s="151">
        <f>SUMPRODUCT(($E$7:$E$54=AB14)*($U$7:$U$54)*($F$7:$F$54))+SUMPRODUCT(($H$7:$H$54=AB14)*($U$7:$U$54)*($G$7:$G$54))</f>
        <v>0</v>
      </c>
      <c r="AV14" s="151">
        <f>SUMPRODUCT(($E$7:$E$54=AB14)*($U$7:$U$54)*($G$7:$G$54))+SUMPRODUCT(($H$7:$H$54=AB14)*($U$7:$U$54)*($F$7:$F$54))</f>
        <v>0</v>
      </c>
      <c r="AW14" s="151">
        <f>AU14-AV14</f>
        <v>0</v>
      </c>
      <c r="BB14" s="126">
        <v>50</v>
      </c>
      <c r="BC14" s="34" t="str">
        <f>AR20</f>
        <v>France</v>
      </c>
      <c r="BD14" s="93"/>
      <c r="BE14" s="95"/>
      <c r="BF14" s="35"/>
      <c r="BG14" s="45"/>
      <c r="BH14" s="31"/>
      <c r="BI14" s="31"/>
      <c r="BJ14" s="31"/>
      <c r="BK14" s="31"/>
      <c r="BL14" s="31"/>
      <c r="BM14" s="31"/>
      <c r="BN14" s="41"/>
      <c r="BO14" s="31"/>
      <c r="BP14" s="31"/>
      <c r="BQ14" s="31"/>
      <c r="BR14" s="31"/>
      <c r="BS14" s="31"/>
      <c r="BT14" s="40"/>
      <c r="BU14" s="31"/>
      <c r="BV14" s="31"/>
      <c r="BW14" s="31"/>
      <c r="BX14" s="31"/>
      <c r="BY14" s="31"/>
      <c r="BZ14" s="31"/>
      <c r="CA14" s="31"/>
    </row>
    <row r="15" spans="1:79" ht="15" customHeight="1" x14ac:dyDescent="0.25">
      <c r="A15" s="25">
        <v>9</v>
      </c>
      <c r="B15" s="26" t="str">
        <f t="shared" si="0"/>
        <v>Sun</v>
      </c>
      <c r="C15" s="27" t="str">
        <f t="shared" si="1"/>
        <v>Jun 17, 2018</v>
      </c>
      <c r="D15" s="28">
        <f t="shared" si="8"/>
        <v>0.75</v>
      </c>
      <c r="E15" s="101" t="str">
        <f>AB32</f>
        <v>Brazil</v>
      </c>
      <c r="F15" s="29">
        <v>1</v>
      </c>
      <c r="G15" s="30">
        <v>1</v>
      </c>
      <c r="H15" s="98" t="str">
        <f>AB33</f>
        <v>Switzerland</v>
      </c>
      <c r="J15" s="63" t="str">
        <f>VLOOKUP(1,AA14:AK17,2,FALSE)</f>
        <v>Spain</v>
      </c>
      <c r="K15" s="64">
        <f>L15+M15+N15</f>
        <v>3</v>
      </c>
      <c r="L15" s="64">
        <f>VLOOKUP(1,AA14:AK17,3,FALSE)</f>
        <v>1</v>
      </c>
      <c r="M15" s="64">
        <f>VLOOKUP(1,AA14:AK17,4,FALSE)</f>
        <v>2</v>
      </c>
      <c r="N15" s="64">
        <f>VLOOKUP(1,AA14:AK17,5,FALSE)</f>
        <v>0</v>
      </c>
      <c r="O15" s="64" t="str">
        <f>VLOOKUP(1,AA14:AK17,6,FALSE) &amp; " - " &amp; VLOOKUP(1,AA14:AK17,7,FALSE)</f>
        <v>6 - 5</v>
      </c>
      <c r="P15" s="65">
        <f>L15*3+M15</f>
        <v>5</v>
      </c>
      <c r="R15" s="147">
        <f>DATE(2018,6,17)+TIME(7,0,0)+gmt_delta</f>
        <v>43268.75</v>
      </c>
      <c r="S15" s="152" t="str">
        <f t="shared" si="2"/>
        <v>Brazil_draw</v>
      </c>
      <c r="T15" s="152" t="str">
        <f t="shared" si="3"/>
        <v>Switzerland_draw</v>
      </c>
      <c r="U15" s="148">
        <f t="shared" si="4"/>
        <v>0</v>
      </c>
      <c r="V15" s="147">
        <f t="shared" si="5"/>
        <v>0</v>
      </c>
      <c r="W15" s="147">
        <f t="shared" si="6"/>
        <v>0</v>
      </c>
      <c r="X15" s="147">
        <f t="shared" si="7"/>
        <v>0</v>
      </c>
      <c r="Y15" s="147">
        <f t="shared" si="9"/>
        <v>0</v>
      </c>
      <c r="AA15" s="147">
        <f>COUNTIF(AQ14:AQ17,CONCATENATE("&gt;=",AQ15))</f>
        <v>1</v>
      </c>
      <c r="AB15" s="148" t="str">
        <f>VLOOKUP("Spain",T,lang,FALSE)</f>
        <v>Spain</v>
      </c>
      <c r="AC15" s="147">
        <f>COUNTIF($S$7:$T$54,"=" &amp; AB15 &amp; "_win")</f>
        <v>1</v>
      </c>
      <c r="AD15" s="147">
        <f>COUNTIF($S$7:$T$54,"=" &amp; AB15 &amp; "_draw")</f>
        <v>2</v>
      </c>
      <c r="AE15" s="147">
        <f>COUNTIF($S$7:$T$54,"=" &amp; AB15 &amp; "_lose")</f>
        <v>0</v>
      </c>
      <c r="AF15" s="147">
        <f>SUMIF($E$7:$E$54,$AB15,$F$7:$F$54) + SUMIF($H$7:$H$54,$AB15,$G$7:$G$54)</f>
        <v>6</v>
      </c>
      <c r="AG15" s="147">
        <f>SUMIF($E$7:$E$54,$AB15,$G$7:$G$54) + SUMIF($H$7:$H$54,$AB15,$F$7:$F$54)</f>
        <v>5</v>
      </c>
      <c r="AH15" s="147">
        <f>(AF15-AG15)*100+AK15*10000+AF15</f>
        <v>50106</v>
      </c>
      <c r="AI15" s="147">
        <f>AF15-AG15</f>
        <v>1</v>
      </c>
      <c r="AJ15" s="147">
        <f>(AI15-AI19)/AI18</f>
        <v>0.75</v>
      </c>
      <c r="AK15" s="147">
        <f>AC15*3+AD15</f>
        <v>5</v>
      </c>
      <c r="AL15" s="147">
        <f>AS15/AS18*1000+AT15/AT18*100+AW15/AW18*10+AU15/AU18</f>
        <v>0</v>
      </c>
      <c r="AM15" s="147">
        <f>VLOOKUP(AB15,fair_play,2,FALSE)</f>
        <v>-1</v>
      </c>
      <c r="AN15" s="147">
        <f t="shared" ref="AN15:AN17" si="13">COUNTIF($AM$14:$AM$17,CONCATENATE("&lt;=",AM15))</f>
        <v>4</v>
      </c>
      <c r="AO15" s="147">
        <f>VLOOKUP(AB15,fair_play,3,FALSE)</f>
        <v>27</v>
      </c>
      <c r="AP15" s="147">
        <f t="shared" ref="AP15:AP17" si="14">COUNTIF($AO$14:$AO$17,CONCATENATE("&gt;=",AO15))</f>
        <v>1</v>
      </c>
      <c r="AQ15" s="148">
        <f>1000*AK15/AK18+100*AJ15+10*AF15/AF18+1*AL15/AL18+0.00001*AN15+0.000001*AP15</f>
        <v>1087.000041</v>
      </c>
      <c r="AR15" s="149" t="str">
        <f>IF(SUM(AC14:AE17)=12,J16,INDEX(T,73,lang))</f>
        <v>Portugal</v>
      </c>
      <c r="AS15" s="150">
        <f>SUMPRODUCT(($S$7:$S$54=AB15&amp;"_win")*($U$7:$U$54))+SUMPRODUCT(($T$7:$T$54=AB15&amp;"_win")*($U$7:$U$54))</f>
        <v>0</v>
      </c>
      <c r="AT15" s="151">
        <f>SUMPRODUCT(($S$7:$S$54=AB15&amp;"_draw")*($U$7:$U$54))+SUMPRODUCT(($T$7:$T$54=AB15&amp;"_draw")*($U$7:$U$54))</f>
        <v>0</v>
      </c>
      <c r="AU15" s="151">
        <f>SUMPRODUCT(($E$7:$E$54=AB15)*($U$7:$U$54)*($F$7:$F$54))+SUMPRODUCT(($H$7:$H$54=AB15)*($U$7:$U$54)*($G$7:$G$54))</f>
        <v>0</v>
      </c>
      <c r="AV15" s="151">
        <f>SUMPRODUCT(($E$7:$E$54=AB15)*($U$7:$U$54)*($G$7:$G$54))+SUMPRODUCT(($H$7:$H$54=AB15)*($U$7:$U$54)*($F$7:$F$54))</f>
        <v>0</v>
      </c>
      <c r="AW15" s="151">
        <f>AU15-AV15</f>
        <v>0</v>
      </c>
      <c r="BB15" s="127"/>
      <c r="BC15" s="36" t="str">
        <f>AR27</f>
        <v>Argentina</v>
      </c>
      <c r="BD15" s="94"/>
      <c r="BE15" s="96"/>
      <c r="BF15" s="38"/>
      <c r="BG15" s="31"/>
      <c r="BH15" s="31"/>
      <c r="BI15" s="31"/>
      <c r="BJ15" s="31"/>
      <c r="BK15" s="31"/>
      <c r="BL15" s="31"/>
      <c r="BM15" s="31"/>
      <c r="BN15" s="41"/>
      <c r="BO15" s="31"/>
      <c r="BP15" s="31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31"/>
      <c r="BR15" s="31"/>
      <c r="BS15" s="31"/>
      <c r="BT15" s="40"/>
      <c r="BU15" s="31"/>
      <c r="BV15" s="31"/>
      <c r="BW15" s="31"/>
      <c r="BX15" s="31"/>
      <c r="BY15" s="31"/>
      <c r="BZ15" s="31"/>
      <c r="CA15" s="31"/>
    </row>
    <row r="16" spans="1:79" ht="15" customHeight="1" x14ac:dyDescent="0.25">
      <c r="A16" s="25">
        <v>10</v>
      </c>
      <c r="B16" s="26" t="str">
        <f t="shared" si="0"/>
        <v>Sun</v>
      </c>
      <c r="C16" s="27" t="str">
        <f t="shared" si="1"/>
        <v>Jun 17, 2018</v>
      </c>
      <c r="D16" s="28">
        <f t="shared" si="8"/>
        <v>0.5</v>
      </c>
      <c r="E16" s="101" t="str">
        <f>AB34</f>
        <v>Costa Rica</v>
      </c>
      <c r="F16" s="29">
        <v>0</v>
      </c>
      <c r="G16" s="30">
        <v>1</v>
      </c>
      <c r="H16" s="98" t="str">
        <f>AB35</f>
        <v>Serbia</v>
      </c>
      <c r="J16" s="66" t="str">
        <f>VLOOKUP(2,AA14:AK17,2,FALSE)</f>
        <v>Portugal</v>
      </c>
      <c r="K16" s="33">
        <f>L16+M16+N16</f>
        <v>3</v>
      </c>
      <c r="L16" s="33">
        <f>VLOOKUP(2,AA14:AK17,3,FALSE)</f>
        <v>1</v>
      </c>
      <c r="M16" s="33">
        <f>VLOOKUP(2,AA14:AK17,4,FALSE)</f>
        <v>2</v>
      </c>
      <c r="N16" s="33">
        <f>VLOOKUP(2,AA14:AK17,5,FALSE)</f>
        <v>0</v>
      </c>
      <c r="O16" s="33" t="str">
        <f>VLOOKUP(2,AA14:AK17,6,FALSE) &amp; " - " &amp; VLOOKUP(2,AA14:AK17,7,FALSE)</f>
        <v>5 - 4</v>
      </c>
      <c r="P16" s="67">
        <f>L16*3+M16</f>
        <v>5</v>
      </c>
      <c r="R16" s="147">
        <f>DATE(2018,6,17)+TIME(1,0,0)+gmt_delta</f>
        <v>43268.5</v>
      </c>
      <c r="S16" s="152" t="str">
        <f t="shared" si="2"/>
        <v>Costa Rica_lose</v>
      </c>
      <c r="T16" s="152" t="str">
        <f t="shared" si="3"/>
        <v>Serbia_win</v>
      </c>
      <c r="U16" s="148">
        <f t="shared" si="4"/>
        <v>0</v>
      </c>
      <c r="V16" s="147">
        <f t="shared" si="5"/>
        <v>0</v>
      </c>
      <c r="W16" s="147">
        <f t="shared" si="6"/>
        <v>0</v>
      </c>
      <c r="X16" s="147">
        <f t="shared" si="7"/>
        <v>0</v>
      </c>
      <c r="Y16" s="147">
        <f t="shared" si="9"/>
        <v>-1</v>
      </c>
      <c r="AA16" s="147">
        <f>COUNTIF(AQ14:AQ17,CONCATENATE("&gt;=",AQ16))</f>
        <v>4</v>
      </c>
      <c r="AB16" s="148" t="str">
        <f>VLOOKUP("Morocco",T,lang,FALSE)</f>
        <v>Morocco</v>
      </c>
      <c r="AC16" s="147">
        <f>COUNTIF($S$7:$T$54,"=" &amp; AB16 &amp; "_win")</f>
        <v>0</v>
      </c>
      <c r="AD16" s="147">
        <f>COUNTIF($S$7:$T$54,"=" &amp; AB16 &amp; "_draw")</f>
        <v>1</v>
      </c>
      <c r="AE16" s="147">
        <f>COUNTIF($S$7:$T$54,"=" &amp; AB16 &amp; "_lose")</f>
        <v>2</v>
      </c>
      <c r="AF16" s="147">
        <f>SUMIF($E$7:$E$54,$AB16,$F$7:$F$54) + SUMIF($H$7:$H$54,$AB16,$G$7:$G$54)</f>
        <v>2</v>
      </c>
      <c r="AG16" s="147">
        <f>SUMIF($E$7:$E$54,$AB16,$G$7:$G$54) + SUMIF($H$7:$H$54,$AB16,$F$7:$F$54)</f>
        <v>4</v>
      </c>
      <c r="AH16" s="147">
        <f>(AF16-AG16)*100+AK16*10000+AF16</f>
        <v>9802</v>
      </c>
      <c r="AI16" s="147">
        <f>AF16-AG16</f>
        <v>-2</v>
      </c>
      <c r="AJ16" s="147">
        <f>(AI16-AI19)/AI18</f>
        <v>0</v>
      </c>
      <c r="AK16" s="147">
        <f>AC16*3+AD16</f>
        <v>1</v>
      </c>
      <c r="AL16" s="147">
        <f>AS16/AS18*1000+AT16/AT18*100+AW16/AW18*10+AU16/AU18</f>
        <v>0</v>
      </c>
      <c r="AM16" s="147">
        <f>VLOOKUP(AB16,fair_play,2,FALSE)</f>
        <v>-4</v>
      </c>
      <c r="AN16" s="147">
        <f t="shared" si="13"/>
        <v>3</v>
      </c>
      <c r="AO16" s="147">
        <f>VLOOKUP(AB16,fair_play,3,FALSE)</f>
        <v>17</v>
      </c>
      <c r="AP16" s="147">
        <f t="shared" si="14"/>
        <v>3</v>
      </c>
      <c r="AQ16" s="148">
        <f>1000*AK16/AK18+100*AJ16+10*AF16/AF18+1*AL16/AL18+0.00001*AN16+0.000001*AP16</f>
        <v>204.000033</v>
      </c>
      <c r="AS16" s="150">
        <f>SUMPRODUCT(($S$7:$S$54=AB16&amp;"_win")*($U$7:$U$54))+SUMPRODUCT(($T$7:$T$54=AB16&amp;"_win")*($U$7:$U$54))</f>
        <v>0</v>
      </c>
      <c r="AT16" s="151">
        <f>SUMPRODUCT(($S$7:$S$54=AB16&amp;"_draw")*($U$7:$U$54))+SUMPRODUCT(($T$7:$T$54=AB16&amp;"_draw")*($U$7:$U$54))</f>
        <v>0</v>
      </c>
      <c r="AU16" s="151">
        <f>SUMPRODUCT(($E$7:$E$54=AB16)*($U$7:$U$54)*($F$7:$F$54))+SUMPRODUCT(($H$7:$H$54=AB16)*($U$7:$U$54)*($G$7:$G$54))</f>
        <v>0</v>
      </c>
      <c r="AV16" s="151">
        <f>SUMPRODUCT(($E$7:$E$54=AB16)*($U$7:$U$54)*($G$7:$G$54))+SUMPRODUCT(($H$7:$H$54=AB16)*($U$7:$U$54)*($F$7:$F$54))</f>
        <v>0</v>
      </c>
      <c r="AW16" s="151">
        <f>AU16-AV16</f>
        <v>0</v>
      </c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41"/>
      <c r="BO16" s="31"/>
      <c r="BP16" s="126">
        <v>61</v>
      </c>
      <c r="BQ16" s="34" t="str">
        <f>T69</f>
        <v>W57</v>
      </c>
      <c r="BR16" s="93"/>
      <c r="BS16" s="95"/>
      <c r="BT16" s="35"/>
      <c r="BU16" s="31"/>
      <c r="BV16" s="46"/>
      <c r="BW16" s="31"/>
      <c r="BX16" s="31"/>
      <c r="BY16" s="31"/>
      <c r="BZ16" s="31"/>
      <c r="CA16" s="31"/>
    </row>
    <row r="17" spans="1:79" ht="15" customHeight="1" x14ac:dyDescent="0.25">
      <c r="A17" s="25">
        <v>11</v>
      </c>
      <c r="B17" s="26" t="str">
        <f t="shared" si="0"/>
        <v>Sun</v>
      </c>
      <c r="C17" s="27" t="str">
        <f t="shared" si="1"/>
        <v>Jun 17, 2018</v>
      </c>
      <c r="D17" s="28">
        <f t="shared" si="8"/>
        <v>0.625</v>
      </c>
      <c r="E17" s="101" t="str">
        <f>AB38</f>
        <v>Germany</v>
      </c>
      <c r="F17" s="29">
        <v>0</v>
      </c>
      <c r="G17" s="30">
        <v>1</v>
      </c>
      <c r="H17" s="98" t="str">
        <f>AB39</f>
        <v>Mexico</v>
      </c>
      <c r="J17" s="66" t="str">
        <f>VLOOKUP(3,AA14:AK17,2,FALSE)</f>
        <v>Iran</v>
      </c>
      <c r="K17" s="33">
        <f>L17+M17+N17</f>
        <v>3</v>
      </c>
      <c r="L17" s="33">
        <f>VLOOKUP(3,AA14:AK17,3,FALSE)</f>
        <v>1</v>
      </c>
      <c r="M17" s="33">
        <f>VLOOKUP(3,AA14:AK17,4,FALSE)</f>
        <v>1</v>
      </c>
      <c r="N17" s="33">
        <f>VLOOKUP(3,AA14:AK17,5,FALSE)</f>
        <v>1</v>
      </c>
      <c r="O17" s="33" t="str">
        <f>VLOOKUP(3,AA14:AK17,6,FALSE) &amp; " - " &amp; VLOOKUP(3,AA14:AK17,7,FALSE)</f>
        <v>2 - 2</v>
      </c>
      <c r="P17" s="67">
        <f>L17*3+M17</f>
        <v>4</v>
      </c>
      <c r="R17" s="147">
        <f>DATE(2018,6,17)+TIME(4,0,0)+gmt_delta</f>
        <v>43268.625</v>
      </c>
      <c r="S17" s="152" t="str">
        <f t="shared" si="2"/>
        <v>Germany_lose</v>
      </c>
      <c r="T17" s="152" t="str">
        <f t="shared" si="3"/>
        <v>Mexico_win</v>
      </c>
      <c r="U17" s="148">
        <f t="shared" si="4"/>
        <v>0</v>
      </c>
      <c r="V17" s="147">
        <f t="shared" si="5"/>
        <v>0</v>
      </c>
      <c r="W17" s="147">
        <f t="shared" si="6"/>
        <v>0</v>
      </c>
      <c r="X17" s="147">
        <f t="shared" si="7"/>
        <v>0</v>
      </c>
      <c r="Y17" s="147">
        <f t="shared" si="9"/>
        <v>-1</v>
      </c>
      <c r="AA17" s="147">
        <f>COUNTIF(AQ14:AQ17,CONCATENATE("&gt;=",AQ17))</f>
        <v>3</v>
      </c>
      <c r="AB17" s="148" t="str">
        <f>VLOOKUP("Iran",T,lang,FALSE)</f>
        <v>Iran</v>
      </c>
      <c r="AC17" s="147">
        <f>COUNTIF($S$7:$T$54,"=" &amp; AB17 &amp; "_win")</f>
        <v>1</v>
      </c>
      <c r="AD17" s="147">
        <f>COUNTIF($S$7:$T$54,"=" &amp; AB17 &amp; "_draw")</f>
        <v>1</v>
      </c>
      <c r="AE17" s="147">
        <f>COUNTIF($S$7:$T$54,"=" &amp; AB17 &amp; "_lose")</f>
        <v>1</v>
      </c>
      <c r="AF17" s="147">
        <f>SUMIF($E$7:$E$54,$AB17,$F$7:$F$54) + SUMIF($H$7:$H$54,$AB17,$G$7:$G$54)</f>
        <v>2</v>
      </c>
      <c r="AG17" s="147">
        <f>SUMIF($E$7:$E$54,$AB17,$G$7:$G$54) + SUMIF($H$7:$H$54,$AB17,$F$7:$F$54)</f>
        <v>2</v>
      </c>
      <c r="AH17" s="147">
        <f>(AF17-AG17)*100+AK17*10000+AF17</f>
        <v>40002</v>
      </c>
      <c r="AI17" s="147">
        <f>AF17-AG17</f>
        <v>0</v>
      </c>
      <c r="AJ17" s="147">
        <f>(AI17-AI19)/AI18</f>
        <v>0.5</v>
      </c>
      <c r="AK17" s="147">
        <f>AC17*3+AD17</f>
        <v>4</v>
      </c>
      <c r="AL17" s="147">
        <f>AS17/AS18*1000+AT17/AT18*100+AW17/AW18*10+AU17/AU18</f>
        <v>0</v>
      </c>
      <c r="AM17" s="147">
        <f>VLOOKUP(AB17,fair_play,2,FALSE)</f>
        <v>-7</v>
      </c>
      <c r="AN17" s="147">
        <f t="shared" si="13"/>
        <v>1</v>
      </c>
      <c r="AO17" s="147">
        <f>VLOOKUP(AB17,fair_play,3,FALSE)</f>
        <v>13</v>
      </c>
      <c r="AP17" s="147">
        <f t="shared" si="14"/>
        <v>4</v>
      </c>
      <c r="AQ17" s="148">
        <f>1000*AK17/AK18+100*AJ17+10*AF17/AF18+1*AL17/AL18+0.00001*AN17+0.000001*AP17</f>
        <v>854.00001399999996</v>
      </c>
      <c r="AS17" s="150">
        <f>SUMPRODUCT(($S$7:$S$54=AB17&amp;"_win")*($U$7:$U$54))+SUMPRODUCT(($T$7:$T$54=AB17&amp;"_win")*($U$7:$U$54))</f>
        <v>0</v>
      </c>
      <c r="AT17" s="151">
        <f>SUMPRODUCT(($S$7:$S$54=AB17&amp;"_draw")*($U$7:$U$54))+SUMPRODUCT(($T$7:$T$54=AB17&amp;"_draw")*($U$7:$U$54))</f>
        <v>0</v>
      </c>
      <c r="AU17" s="151">
        <f>SUMPRODUCT(($E$7:$E$54=AB17)*($U$7:$U$54)*($F$7:$F$54))+SUMPRODUCT(($H$7:$H$54=AB17)*($U$7:$U$54)*($G$7:$G$54))</f>
        <v>0</v>
      </c>
      <c r="AV17" s="151">
        <f>SUMPRODUCT(($E$7:$E$54=AB17)*($U$7:$U$54)*($G$7:$G$54))+SUMPRODUCT(($H$7:$H$54=AB17)*($U$7:$U$54)*($F$7:$F$54))</f>
        <v>0</v>
      </c>
      <c r="AW17" s="151">
        <f>AU17-AV17</f>
        <v>0</v>
      </c>
      <c r="BB17" s="31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31"/>
      <c r="BD17" s="31"/>
      <c r="BE17" s="31"/>
      <c r="BF17" s="40"/>
      <c r="BG17" s="31"/>
      <c r="BH17" s="31"/>
      <c r="BI17" s="31"/>
      <c r="BJ17" s="31"/>
      <c r="BK17" s="31"/>
      <c r="BL17" s="31"/>
      <c r="BM17" s="31"/>
      <c r="BN17" s="41"/>
      <c r="BO17" s="44"/>
      <c r="BP17" s="127"/>
      <c r="BQ17" s="36" t="str">
        <f>T70</f>
        <v>W58</v>
      </c>
      <c r="BR17" s="94"/>
      <c r="BS17" s="96"/>
      <c r="BT17" s="38"/>
      <c r="BU17" s="39"/>
      <c r="BV17" s="47"/>
      <c r="BW17" s="31"/>
      <c r="BX17" s="31"/>
      <c r="BY17" s="31"/>
      <c r="BZ17" s="31"/>
      <c r="CA17" s="31"/>
    </row>
    <row r="18" spans="1:79" ht="15" customHeight="1" x14ac:dyDescent="0.25">
      <c r="A18" s="25">
        <v>12</v>
      </c>
      <c r="B18" s="26" t="str">
        <f t="shared" si="0"/>
        <v>Mon</v>
      </c>
      <c r="C18" s="27" t="str">
        <f t="shared" si="1"/>
        <v>Jun 18, 2018</v>
      </c>
      <c r="D18" s="28">
        <f t="shared" si="8"/>
        <v>0.5</v>
      </c>
      <c r="E18" s="101" t="str">
        <f>AB40</f>
        <v>Sweden</v>
      </c>
      <c r="F18" s="29">
        <v>1</v>
      </c>
      <c r="G18" s="30">
        <v>0</v>
      </c>
      <c r="H18" s="98" t="str">
        <f>AB41</f>
        <v>Korea Republic</v>
      </c>
      <c r="J18" s="68" t="str">
        <f>VLOOKUP(4,AA14:AK17,2,FALSE)</f>
        <v>Morocco</v>
      </c>
      <c r="K18" s="69">
        <f>L18+M18+N18</f>
        <v>3</v>
      </c>
      <c r="L18" s="69">
        <f>VLOOKUP(4,AA14:AK17,3,FALSE)</f>
        <v>0</v>
      </c>
      <c r="M18" s="69">
        <f>VLOOKUP(4,AA14:AK17,4,FALSE)</f>
        <v>1</v>
      </c>
      <c r="N18" s="69">
        <f>VLOOKUP(4,AA14:AK17,5,FALSE)</f>
        <v>2</v>
      </c>
      <c r="O18" s="69" t="str">
        <f>VLOOKUP(4,AA14:AK17,6,FALSE) &amp; " - " &amp; VLOOKUP(4,AA14:AK17,7,FALSE)</f>
        <v>2 - 4</v>
      </c>
      <c r="P18" s="70">
        <f>L18*3+M18</f>
        <v>1</v>
      </c>
      <c r="R18" s="147">
        <f>DATE(2018,6,18)+TIME(1,0,0)+gmt_delta</f>
        <v>43269.5</v>
      </c>
      <c r="S18" s="152" t="str">
        <f t="shared" si="2"/>
        <v>Sweden_win</v>
      </c>
      <c r="T18" s="152" t="str">
        <f t="shared" si="3"/>
        <v>Korea Republic_lose</v>
      </c>
      <c r="U18" s="148">
        <f t="shared" si="4"/>
        <v>0</v>
      </c>
      <c r="V18" s="147">
        <f t="shared" si="5"/>
        <v>0</v>
      </c>
      <c r="W18" s="147">
        <f t="shared" si="6"/>
        <v>0</v>
      </c>
      <c r="X18" s="147">
        <f t="shared" si="7"/>
        <v>0</v>
      </c>
      <c r="Y18" s="147">
        <f t="shared" si="9"/>
        <v>1</v>
      </c>
      <c r="AC18" s="147">
        <f t="shared" ref="AC18:AL18" si="15">MAX(AC14:AC17)-MIN(AC14:AC17)+1</f>
        <v>2</v>
      </c>
      <c r="AD18" s="147">
        <f t="shared" si="15"/>
        <v>2</v>
      </c>
      <c r="AE18" s="147">
        <f t="shared" si="15"/>
        <v>3</v>
      </c>
      <c r="AF18" s="147">
        <f t="shared" si="15"/>
        <v>5</v>
      </c>
      <c r="AG18" s="147">
        <f t="shared" si="15"/>
        <v>4</v>
      </c>
      <c r="AH18" s="147">
        <f>MAX(AH14:AH17)-AH19+1</f>
        <v>40305</v>
      </c>
      <c r="AI18" s="147">
        <f>MAX(AI14:AI17)-AI19+1</f>
        <v>4</v>
      </c>
      <c r="AK18" s="147">
        <f t="shared" si="15"/>
        <v>5</v>
      </c>
      <c r="AL18" s="147">
        <f t="shared" si="15"/>
        <v>1</v>
      </c>
      <c r="AM18" s="147"/>
      <c r="AN18" s="147"/>
      <c r="AO18" s="147"/>
      <c r="AP18" s="147"/>
      <c r="AS18" s="147">
        <f>MAX(AS14:AS17)-MIN(AS14:AS17)+1</f>
        <v>1</v>
      </c>
      <c r="AT18" s="147">
        <f>MAX(AT14:AT17)-MIN(AT14:AT17)+1</f>
        <v>1</v>
      </c>
      <c r="AU18" s="147">
        <f>MAX(AU14:AU17)-MIN(AU14:AU17)+1</f>
        <v>1</v>
      </c>
      <c r="AV18" s="147">
        <f>MAX(AV14:AV17)-MIN(AV14:AV17)+1</f>
        <v>1</v>
      </c>
      <c r="AW18" s="147">
        <f>MAX(AW14:AW17)-MIN(AW14:AW17)+1</f>
        <v>1</v>
      </c>
      <c r="BB18" s="126">
        <v>53</v>
      </c>
      <c r="BC18" s="34" t="str">
        <f>AR32</f>
        <v>1E</v>
      </c>
      <c r="BD18" s="93"/>
      <c r="BE18" s="95"/>
      <c r="BF18" s="35"/>
      <c r="BG18" s="31"/>
      <c r="BH18" s="31"/>
      <c r="BI18" s="31"/>
      <c r="BJ18" s="31"/>
      <c r="BK18" s="31"/>
      <c r="BL18" s="31"/>
      <c r="BM18" s="31"/>
      <c r="BN18" s="41"/>
      <c r="BO18" s="31"/>
      <c r="BP18" s="31"/>
      <c r="BQ18" s="31"/>
      <c r="BR18" s="31"/>
      <c r="BS18" s="31"/>
      <c r="BT18" s="31"/>
      <c r="BU18" s="41"/>
      <c r="BV18" s="31"/>
      <c r="BW18" s="31"/>
      <c r="BX18" s="31"/>
      <c r="BY18" s="31"/>
      <c r="BZ18" s="31"/>
      <c r="CA18" s="31"/>
    </row>
    <row r="19" spans="1:79" ht="15" customHeight="1" x14ac:dyDescent="0.25">
      <c r="A19" s="25">
        <v>13</v>
      </c>
      <c r="B19" s="26" t="str">
        <f t="shared" si="0"/>
        <v>Mon</v>
      </c>
      <c r="C19" s="27" t="str">
        <f t="shared" si="1"/>
        <v>Jun 18, 2018</v>
      </c>
      <c r="D19" s="28">
        <f t="shared" si="8"/>
        <v>0.625</v>
      </c>
      <c r="E19" s="101" t="str">
        <f>AB44</f>
        <v>Belgium</v>
      </c>
      <c r="F19" s="29">
        <v>3</v>
      </c>
      <c r="G19" s="30">
        <v>0</v>
      </c>
      <c r="H19" s="98" t="str">
        <f>AB45</f>
        <v>Panama</v>
      </c>
      <c r="J19" s="42"/>
      <c r="K19" s="43"/>
      <c r="L19" s="43"/>
      <c r="M19" s="43"/>
      <c r="N19" s="43"/>
      <c r="O19" s="43"/>
      <c r="P19" s="43"/>
      <c r="R19" s="147">
        <f>DATE(2018,6,18)+TIME(4,0,0)+gmt_delta</f>
        <v>43269.625</v>
      </c>
      <c r="S19" s="152" t="str">
        <f t="shared" si="2"/>
        <v>Belgium_win</v>
      </c>
      <c r="T19" s="152" t="str">
        <f t="shared" si="3"/>
        <v>Panama_lose</v>
      </c>
      <c r="U19" s="148">
        <f t="shared" si="4"/>
        <v>0</v>
      </c>
      <c r="V19" s="147">
        <f t="shared" si="5"/>
        <v>0</v>
      </c>
      <c r="W19" s="147">
        <f t="shared" si="6"/>
        <v>0</v>
      </c>
      <c r="X19" s="147">
        <f t="shared" si="7"/>
        <v>0</v>
      </c>
      <c r="Y19" s="147">
        <f t="shared" si="9"/>
        <v>1</v>
      </c>
      <c r="AH19" s="147">
        <f>MIN(AH14:AH17)</f>
        <v>9802</v>
      </c>
      <c r="AI19" s="147">
        <f>MIN(AI14:AI17)</f>
        <v>-2</v>
      </c>
      <c r="AO19" s="147"/>
      <c r="AP19" s="147"/>
      <c r="BB19" s="127"/>
      <c r="BC19" s="36" t="str">
        <f>AR39</f>
        <v>2F</v>
      </c>
      <c r="BD19" s="94"/>
      <c r="BE19" s="96"/>
      <c r="BF19" s="38"/>
      <c r="BG19" s="39"/>
      <c r="BH19" s="31"/>
      <c r="BI19" s="31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31"/>
      <c r="BK19" s="31"/>
      <c r="BL19" s="31"/>
      <c r="BM19" s="40"/>
      <c r="BN19" s="41"/>
      <c r="BO19" s="31"/>
      <c r="BP19" s="31"/>
      <c r="BQ19" s="31"/>
      <c r="BR19" s="31"/>
      <c r="BS19" s="31"/>
      <c r="BT19" s="31"/>
      <c r="BU19" s="41"/>
      <c r="BV19" s="31"/>
      <c r="BW19" s="31"/>
      <c r="BX19" s="31"/>
      <c r="BY19" s="31"/>
      <c r="BZ19" s="31"/>
      <c r="CA19" s="31"/>
    </row>
    <row r="20" spans="1:79" ht="15" customHeight="1" x14ac:dyDescent="0.25">
      <c r="A20" s="25">
        <v>14</v>
      </c>
      <c r="B20" s="26" t="str">
        <f t="shared" si="0"/>
        <v>Mon</v>
      </c>
      <c r="C20" s="27" t="str">
        <f t="shared" si="1"/>
        <v>Jun 18, 2018</v>
      </c>
      <c r="D20" s="28">
        <f t="shared" si="8"/>
        <v>0.75</v>
      </c>
      <c r="E20" s="101" t="str">
        <f>AB46</f>
        <v>Tunisia</v>
      </c>
      <c r="F20" s="29">
        <v>1</v>
      </c>
      <c r="G20" s="30">
        <v>2</v>
      </c>
      <c r="H20" s="98" t="str">
        <f>AB47</f>
        <v>England</v>
      </c>
      <c r="J20" s="71" t="str">
        <f>INDEX(T,9,lang) &amp; " " &amp; "C"</f>
        <v>Group C</v>
      </c>
      <c r="K20" s="72" t="str">
        <f>INDEX(T,10,lang)</f>
        <v>PL</v>
      </c>
      <c r="L20" s="72" t="str">
        <f>INDEX(T,11,lang)</f>
        <v>W</v>
      </c>
      <c r="M20" s="72" t="str">
        <f>INDEX(T,12,lang)</f>
        <v>DRAW</v>
      </c>
      <c r="N20" s="72" t="str">
        <f>INDEX(T,13,lang)</f>
        <v>L</v>
      </c>
      <c r="O20" s="72" t="str">
        <f>INDEX(T,14,lang)</f>
        <v>GF - GA</v>
      </c>
      <c r="P20" s="73" t="str">
        <f>INDEX(T,15,lang)</f>
        <v>PNT</v>
      </c>
      <c r="R20" s="147">
        <f>DATE(2018,6,18)+TIME(7,0,0)+gmt_delta</f>
        <v>43269.75</v>
      </c>
      <c r="S20" s="152" t="str">
        <f t="shared" si="2"/>
        <v>Tunisia_lose</v>
      </c>
      <c r="T20" s="152" t="str">
        <f t="shared" si="3"/>
        <v>England_win</v>
      </c>
      <c r="U20" s="148">
        <f t="shared" si="4"/>
        <v>0</v>
      </c>
      <c r="V20" s="147">
        <f t="shared" si="5"/>
        <v>0</v>
      </c>
      <c r="W20" s="147">
        <f t="shared" si="6"/>
        <v>0</v>
      </c>
      <c r="X20" s="147">
        <f t="shared" si="7"/>
        <v>0</v>
      </c>
      <c r="Y20" s="147">
        <f t="shared" si="9"/>
        <v>-1</v>
      </c>
      <c r="AA20" s="147">
        <f>COUNTIF(AQ20:AQ23,CONCATENATE("&gt;=",AQ20))</f>
        <v>1</v>
      </c>
      <c r="AB20" s="148" t="str">
        <f>VLOOKUP("France",T,lang,FALSE)</f>
        <v>France</v>
      </c>
      <c r="AC20" s="147">
        <f>COUNTIF($S$7:$T$54,"=" &amp; AB20 &amp; "_win")</f>
        <v>2</v>
      </c>
      <c r="AD20" s="147">
        <f>COUNTIF($S$7:$T$54,"=" &amp; AB20 &amp; "_draw")</f>
        <v>1</v>
      </c>
      <c r="AE20" s="147">
        <f>COUNTIF($S$7:$T$54,"=" &amp; AB20 &amp; "_lose")</f>
        <v>0</v>
      </c>
      <c r="AF20" s="147">
        <f>SUMIF($E$7:$E$54,$AB20,$F$7:$F$54) + SUMIF($H$7:$H$54,$AB20,$G$7:$G$54)</f>
        <v>3</v>
      </c>
      <c r="AG20" s="147">
        <f>SUMIF($E$7:$E$54,$AB20,$G$7:$G$54) + SUMIF($H$7:$H$54,$AB20,$F$7:$F$54)</f>
        <v>1</v>
      </c>
      <c r="AH20" s="147">
        <f>(AF20-AG20)*100+AK20*10000+AF20</f>
        <v>70203</v>
      </c>
      <c r="AI20" s="147">
        <f>AF20-AG20</f>
        <v>2</v>
      </c>
      <c r="AJ20" s="147">
        <f>(AI20-AI25)/AI24</f>
        <v>0.83333333333333337</v>
      </c>
      <c r="AK20" s="147">
        <f>AC20*3+AD20</f>
        <v>7</v>
      </c>
      <c r="AL20" s="147">
        <f>AS20/AS24*1000+AT20/AT24*100+AW20/AW24*10+AU20/AU24</f>
        <v>0</v>
      </c>
      <c r="AM20" s="147">
        <f>VLOOKUP(AB20,fair_play,2,FALSE)</f>
        <v>-3</v>
      </c>
      <c r="AN20" s="147">
        <f>COUNTIF($AM$20:$AM$23,CONCATENATE("&lt;=",AM20))</f>
        <v>4</v>
      </c>
      <c r="AO20" s="147">
        <f>VLOOKUP(AB20,fair_play,3,FALSE)</f>
        <v>10</v>
      </c>
      <c r="AP20" s="147">
        <f>COUNTIF($AO$20:$AO$23,CONCATENATE("&gt;=",AO20))</f>
        <v>2</v>
      </c>
      <c r="AQ20" s="148">
        <f>1000*AK20/AK24+100*AJ20+10*AF20/AF24+1*AL20/AL24+0.00001*AN20+0.000001*AP20</f>
        <v>1098.3333753333332</v>
      </c>
      <c r="AR20" s="149" t="str">
        <f>IF(SUM(AC20:AE23)=12,J21,INDEX(T,74,lang))</f>
        <v>France</v>
      </c>
      <c r="AS20" s="150">
        <f>SUMPRODUCT(($S$7:$S$54=AB20&amp;"_win")*($U$7:$U$54))+SUMPRODUCT(($T$7:$T$54=AB20&amp;"_win")*($U$7:$U$54))</f>
        <v>0</v>
      </c>
      <c r="AT20" s="151">
        <f>SUMPRODUCT(($S$7:$S$54=AB20&amp;"_draw")*($U$7:$U$54))+SUMPRODUCT(($T$7:$T$54=AB20&amp;"_draw")*($U$7:$U$54))</f>
        <v>0</v>
      </c>
      <c r="AU20" s="151">
        <f>SUMPRODUCT(($E$7:$E$54=AB20)*($U$7:$U$54)*($F$7:$F$54))+SUMPRODUCT(($H$7:$H$54=AB20)*($U$7:$U$54)*($G$7:$G$54))</f>
        <v>0</v>
      </c>
      <c r="AV20" s="151">
        <f>SUMPRODUCT(($E$7:$E$54=AB20)*($U$7:$U$54)*($G$7:$G$54))+SUMPRODUCT(($H$7:$H$54=AB20)*($U$7:$U$54)*($F$7:$F$54))</f>
        <v>0</v>
      </c>
      <c r="AW20" s="151">
        <f>AU20-AV20</f>
        <v>0</v>
      </c>
      <c r="BB20" s="31"/>
      <c r="BC20" s="31"/>
      <c r="BD20" s="31"/>
      <c r="BE20" s="31"/>
      <c r="BF20" s="31"/>
      <c r="BG20" s="41"/>
      <c r="BH20" s="31"/>
      <c r="BI20" s="126">
        <v>58</v>
      </c>
      <c r="BJ20" s="34" t="str">
        <f>T62</f>
        <v>W53</v>
      </c>
      <c r="BK20" s="93"/>
      <c r="BL20" s="95"/>
      <c r="BM20" s="35"/>
      <c r="BN20" s="45"/>
      <c r="BO20" s="31"/>
      <c r="BP20" s="31"/>
      <c r="BQ20" s="31"/>
      <c r="BR20" s="31"/>
      <c r="BS20" s="31"/>
      <c r="BT20" s="31"/>
      <c r="BU20" s="41"/>
      <c r="BV20" s="31"/>
      <c r="BW20" s="31"/>
      <c r="BX20" s="31"/>
      <c r="BY20" s="31"/>
      <c r="BZ20" s="31"/>
      <c r="CA20" s="31"/>
    </row>
    <row r="21" spans="1:79" ht="15" customHeight="1" x14ac:dyDescent="0.25">
      <c r="A21" s="25">
        <v>15</v>
      </c>
      <c r="B21" s="26" t="str">
        <f t="shared" si="0"/>
        <v>Tue</v>
      </c>
      <c r="C21" s="27" t="str">
        <f t="shared" si="1"/>
        <v>Jun 19, 2018</v>
      </c>
      <c r="D21" s="28">
        <f t="shared" si="8"/>
        <v>0.625</v>
      </c>
      <c r="E21" s="101" t="str">
        <f>AB50</f>
        <v>Poland</v>
      </c>
      <c r="F21" s="29">
        <v>1</v>
      </c>
      <c r="G21" s="30">
        <v>2</v>
      </c>
      <c r="H21" s="98" t="str">
        <f>AB51</f>
        <v>Senegal</v>
      </c>
      <c r="J21" s="63" t="str">
        <f>VLOOKUP(1,AA20:AK23,2,FALSE)</f>
        <v>France</v>
      </c>
      <c r="K21" s="64">
        <f>L21+M21+N21</f>
        <v>3</v>
      </c>
      <c r="L21" s="64">
        <f>VLOOKUP(1,AA20:AK23,3,FALSE)</f>
        <v>2</v>
      </c>
      <c r="M21" s="64">
        <f>VLOOKUP(1,AA20:AK23,4,FALSE)</f>
        <v>1</v>
      </c>
      <c r="N21" s="64">
        <f>VLOOKUP(1,AA20:AK23,5,FALSE)</f>
        <v>0</v>
      </c>
      <c r="O21" s="64" t="str">
        <f>VLOOKUP(1,AA20:AK23,6,FALSE) &amp; " - " &amp; VLOOKUP(1,AA20:AK23,7,FALSE)</f>
        <v>3 - 1</v>
      </c>
      <c r="P21" s="65">
        <f>L21*3+M21</f>
        <v>7</v>
      </c>
      <c r="R21" s="147">
        <f>DATE(2018,6,19)+TIME(4,0,0)+gmt_delta</f>
        <v>43270.625</v>
      </c>
      <c r="S21" s="152" t="str">
        <f t="shared" si="2"/>
        <v>Poland_lose</v>
      </c>
      <c r="T21" s="152" t="str">
        <f t="shared" si="3"/>
        <v>Senegal_win</v>
      </c>
      <c r="U21" s="148">
        <f t="shared" si="4"/>
        <v>0</v>
      </c>
      <c r="V21" s="147">
        <f t="shared" si="5"/>
        <v>0</v>
      </c>
      <c r="W21" s="147">
        <f t="shared" si="6"/>
        <v>0</v>
      </c>
      <c r="X21" s="147">
        <f t="shared" si="7"/>
        <v>0</v>
      </c>
      <c r="Y21" s="147">
        <f t="shared" si="9"/>
        <v>-1</v>
      </c>
      <c r="AA21" s="147">
        <f>COUNTIF(AQ20:AQ23,CONCATENATE("&gt;=",AQ21))</f>
        <v>4</v>
      </c>
      <c r="AB21" s="148" t="str">
        <f>VLOOKUP("Australia",T,lang,FALSE)</f>
        <v>Australia</v>
      </c>
      <c r="AC21" s="147">
        <f>COUNTIF($S$7:$T$54,"=" &amp; AB21 &amp; "_win")</f>
        <v>0</v>
      </c>
      <c r="AD21" s="147">
        <f>COUNTIF($S$7:$T$54,"=" &amp; AB21 &amp; "_draw")</f>
        <v>1</v>
      </c>
      <c r="AE21" s="147">
        <f>COUNTIF($S$7:$T$54,"=" &amp; AB21 &amp; "_lose")</f>
        <v>2</v>
      </c>
      <c r="AF21" s="147">
        <f>SUMIF($E$7:$E$54,$AB21,$F$7:$F$54) + SUMIF($H$7:$H$54,$AB21,$G$7:$G$54)</f>
        <v>2</v>
      </c>
      <c r="AG21" s="147">
        <f>SUMIF($E$7:$E$54,$AB21,$G$7:$G$54) + SUMIF($H$7:$H$54,$AB21,$F$7:$F$54)</f>
        <v>5</v>
      </c>
      <c r="AH21" s="147">
        <f>(AF21-AG21)*100+AK21*10000+AF21</f>
        <v>9702</v>
      </c>
      <c r="AI21" s="147">
        <f>AF21-AG21</f>
        <v>-3</v>
      </c>
      <c r="AJ21" s="147">
        <f>(AI21-AI25)/AI24</f>
        <v>0</v>
      </c>
      <c r="AK21" s="147">
        <f>AC21*3+AD21</f>
        <v>1</v>
      </c>
      <c r="AL21" s="147">
        <f>AS21/AS24*1000+AT21/AT24*100+AW21/AW24*10+AU21/AU24</f>
        <v>0</v>
      </c>
      <c r="AM21" s="147">
        <f>VLOOKUP(AB21,fair_play,2,FALSE)</f>
        <v>-7</v>
      </c>
      <c r="AN21" s="147">
        <f t="shared" ref="AN21:AN23" si="16">COUNTIF($AM$20:$AM$23,CONCATENATE("&lt;=",AM21))</f>
        <v>1</v>
      </c>
      <c r="AO21" s="147">
        <f>VLOOKUP(AB21,fair_play,3,FALSE)</f>
        <v>1</v>
      </c>
      <c r="AP21" s="147">
        <f t="shared" ref="AP21:AP23" si="17">COUNTIF($AO$20:$AO$23,CONCATENATE("&gt;=",AO21))</f>
        <v>4</v>
      </c>
      <c r="AQ21" s="148">
        <f>1000*AK21/AK24+100*AJ21+10*AF21/AF24+1*AL21/AL24+0.00001*AN21+0.000001*AP21</f>
        <v>152.85715685714285</v>
      </c>
      <c r="AR21" s="149" t="str">
        <f>IF(SUM(AC20:AE23)=12,J22,INDEX(T,75,lang))</f>
        <v>Denmark</v>
      </c>
      <c r="AS21" s="150">
        <f>SUMPRODUCT(($S$7:$S$54=AB21&amp;"_win")*($U$7:$U$54))+SUMPRODUCT(($T$7:$T$54=AB21&amp;"_win")*($U$7:$U$54))</f>
        <v>0</v>
      </c>
      <c r="AT21" s="151">
        <f>SUMPRODUCT(($S$7:$S$54=AB21&amp;"_draw")*($U$7:$U$54))+SUMPRODUCT(($T$7:$T$54=AB21&amp;"_draw")*($U$7:$U$54))</f>
        <v>0</v>
      </c>
      <c r="AU21" s="151">
        <f>SUMPRODUCT(($E$7:$E$54=AB21)*($U$7:$U$54)*($F$7:$F$54))+SUMPRODUCT(($H$7:$H$54=AB21)*($U$7:$U$54)*($G$7:$G$54))</f>
        <v>0</v>
      </c>
      <c r="AV21" s="151">
        <f>SUMPRODUCT(($E$7:$E$54=AB21)*($U$7:$U$54)*($G$7:$G$54))+SUMPRODUCT(($H$7:$H$54=AB21)*($U$7:$U$54)*($F$7:$F$54))</f>
        <v>0</v>
      </c>
      <c r="AW21" s="151">
        <f>AU21-AV21</f>
        <v>0</v>
      </c>
      <c r="BB21" s="31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31"/>
      <c r="BD21" s="31"/>
      <c r="BE21" s="31"/>
      <c r="BF21" s="40"/>
      <c r="BG21" s="41"/>
      <c r="BH21" s="44"/>
      <c r="BI21" s="127"/>
      <c r="BJ21" s="36" t="str">
        <f>T63</f>
        <v>W54</v>
      </c>
      <c r="BK21" s="94"/>
      <c r="BL21" s="96"/>
      <c r="BM21" s="38"/>
      <c r="BN21" s="31"/>
      <c r="BO21" s="31"/>
      <c r="BP21" s="31"/>
      <c r="BQ21" s="31"/>
      <c r="BR21" s="31"/>
      <c r="BS21" s="31"/>
      <c r="BT21" s="31"/>
      <c r="BU21" s="41"/>
      <c r="BV21" s="31"/>
      <c r="BW21" s="31"/>
      <c r="BX21" s="31"/>
      <c r="BY21" s="31"/>
      <c r="BZ21" s="31"/>
      <c r="CA21" s="31"/>
    </row>
    <row r="22" spans="1:79" ht="15" customHeight="1" x14ac:dyDescent="0.25">
      <c r="A22" s="25">
        <v>16</v>
      </c>
      <c r="B22" s="26" t="str">
        <f t="shared" si="0"/>
        <v>Tue</v>
      </c>
      <c r="C22" s="27" t="str">
        <f t="shared" si="1"/>
        <v>Jun 19, 2018</v>
      </c>
      <c r="D22" s="28">
        <f t="shared" si="8"/>
        <v>0.5</v>
      </c>
      <c r="E22" s="101" t="str">
        <f>AB52</f>
        <v>Colombia</v>
      </c>
      <c r="F22" s="29">
        <v>1</v>
      </c>
      <c r="G22" s="30">
        <v>2</v>
      </c>
      <c r="H22" s="98" t="str">
        <f>AB53</f>
        <v>Japan</v>
      </c>
      <c r="J22" s="66" t="str">
        <f>VLOOKUP(2,AA20:AK23,2,FALSE)</f>
        <v>Denmark</v>
      </c>
      <c r="K22" s="33">
        <f>L22+M22+N22</f>
        <v>3</v>
      </c>
      <c r="L22" s="33">
        <f>VLOOKUP(2,AA20:AK23,3,FALSE)</f>
        <v>1</v>
      </c>
      <c r="M22" s="33">
        <f>VLOOKUP(2,AA20:AK23,4,FALSE)</f>
        <v>2</v>
      </c>
      <c r="N22" s="33">
        <f>VLOOKUP(2,AA20:AK23,5,FALSE)</f>
        <v>0</v>
      </c>
      <c r="O22" s="33" t="str">
        <f>VLOOKUP(2,AA20:AK23,6,FALSE) &amp; " - " &amp; VLOOKUP(2,AA20:AK23,7,FALSE)</f>
        <v>2 - 1</v>
      </c>
      <c r="P22" s="67">
        <f>L22*3+M22</f>
        <v>5</v>
      </c>
      <c r="R22" s="147">
        <f>DATE(2018,6,19)+TIME(1,0,0)+gmt_delta</f>
        <v>43270.5</v>
      </c>
      <c r="S22" s="152" t="str">
        <f t="shared" si="2"/>
        <v>Colombia_lose</v>
      </c>
      <c r="T22" s="152" t="str">
        <f t="shared" si="3"/>
        <v>Japan_win</v>
      </c>
      <c r="U22" s="148">
        <f t="shared" si="4"/>
        <v>0</v>
      </c>
      <c r="V22" s="147">
        <f t="shared" si="5"/>
        <v>0</v>
      </c>
      <c r="W22" s="147">
        <f t="shared" si="6"/>
        <v>0</v>
      </c>
      <c r="X22" s="147">
        <f t="shared" si="7"/>
        <v>0</v>
      </c>
      <c r="Y22" s="147">
        <f t="shared" si="9"/>
        <v>-1</v>
      </c>
      <c r="AA22" s="147">
        <f>COUNTIF(AQ20:AQ23,CONCATENATE("&gt;=",AQ22))</f>
        <v>3</v>
      </c>
      <c r="AB22" s="148" t="str">
        <f>VLOOKUP("Peru",T,lang,FALSE)</f>
        <v>Peru</v>
      </c>
      <c r="AC22" s="147">
        <f>COUNTIF($S$7:$T$54,"=" &amp; AB22 &amp; "_win")</f>
        <v>1</v>
      </c>
      <c r="AD22" s="147">
        <f>COUNTIF($S$7:$T$54,"=" &amp; AB22 &amp; "_draw")</f>
        <v>0</v>
      </c>
      <c r="AE22" s="147">
        <f>COUNTIF($S$7:$T$54,"=" &amp; AB22 &amp; "_lose")</f>
        <v>2</v>
      </c>
      <c r="AF22" s="147">
        <f>SUMIF($E$7:$E$54,$AB22,$F$7:$F$54) + SUMIF($H$7:$H$54,$AB22,$G$7:$G$54)</f>
        <v>2</v>
      </c>
      <c r="AG22" s="147">
        <f>SUMIF($E$7:$E$54,$AB22,$G$7:$G$54) + SUMIF($H$7:$H$54,$AB22,$F$7:$F$54)</f>
        <v>2</v>
      </c>
      <c r="AH22" s="147">
        <f>(AF22-AG22)*100+AK22*10000+AF22</f>
        <v>30002</v>
      </c>
      <c r="AI22" s="147">
        <f>AF22-AG22</f>
        <v>0</v>
      </c>
      <c r="AJ22" s="147">
        <f>(AI22-AI25)/AI24</f>
        <v>0.5</v>
      </c>
      <c r="AK22" s="147">
        <f>AC22*3+AD22</f>
        <v>3</v>
      </c>
      <c r="AL22" s="147">
        <f>AS22/AS24*1000+AT22/AT24*100+AW22/AW24*10+AU22/AU24</f>
        <v>0</v>
      </c>
      <c r="AM22" s="147">
        <f>VLOOKUP(AB22,fair_play,2,FALSE)</f>
        <v>-3</v>
      </c>
      <c r="AN22" s="147">
        <f t="shared" si="16"/>
        <v>4</v>
      </c>
      <c r="AO22" s="147">
        <f>VLOOKUP(AB22,fair_play,3,FALSE)</f>
        <v>20</v>
      </c>
      <c r="AP22" s="147">
        <f t="shared" si="17"/>
        <v>1</v>
      </c>
      <c r="AQ22" s="148">
        <f>1000*AK22/AK24+100*AJ22+10*AF22/AF24+1*AL22/AL24+0.00001*AN22+0.000001*AP22</f>
        <v>488.57146957142857</v>
      </c>
      <c r="AS22" s="150">
        <f>SUMPRODUCT(($S$7:$S$54=AB22&amp;"_win")*($U$7:$U$54))+SUMPRODUCT(($T$7:$T$54=AB22&amp;"_win")*($U$7:$U$54))</f>
        <v>0</v>
      </c>
      <c r="AT22" s="151">
        <f>SUMPRODUCT(($S$7:$S$54=AB22&amp;"_draw")*($U$7:$U$54))+SUMPRODUCT(($T$7:$T$54=AB22&amp;"_draw")*($U$7:$U$54))</f>
        <v>0</v>
      </c>
      <c r="AU22" s="151">
        <f>SUMPRODUCT(($E$7:$E$54=AB22)*($U$7:$U$54)*($F$7:$F$54))+SUMPRODUCT(($H$7:$H$54=AB22)*($U$7:$U$54)*($G$7:$G$54))</f>
        <v>0</v>
      </c>
      <c r="AV22" s="151">
        <f>SUMPRODUCT(($E$7:$E$54=AB22)*($U$7:$U$54)*($G$7:$G$54))+SUMPRODUCT(($H$7:$H$54=AB22)*($U$7:$U$54)*($F$7:$F$54))</f>
        <v>0</v>
      </c>
      <c r="AW22" s="151">
        <f>AU22-AV22</f>
        <v>0</v>
      </c>
      <c r="BB22" s="126">
        <v>54</v>
      </c>
      <c r="BC22" s="34" t="str">
        <f>AR44</f>
        <v>1G</v>
      </c>
      <c r="BD22" s="93"/>
      <c r="BE22" s="95"/>
      <c r="BF22" s="35"/>
      <c r="BG22" s="45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41"/>
      <c r="BV22" s="31"/>
      <c r="BW22" s="31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31"/>
      <c r="BY22" s="31"/>
      <c r="BZ22" s="31"/>
      <c r="CA22" s="40"/>
    </row>
    <row r="23" spans="1:79" ht="15" customHeight="1" x14ac:dyDescent="0.25">
      <c r="A23" s="25">
        <v>17</v>
      </c>
      <c r="B23" s="26" t="str">
        <f t="shared" si="0"/>
        <v>Tue</v>
      </c>
      <c r="C23" s="27" t="str">
        <f t="shared" si="1"/>
        <v>Jun 19, 2018</v>
      </c>
      <c r="D23" s="28">
        <f t="shared" si="8"/>
        <v>0.75</v>
      </c>
      <c r="E23" s="101" t="str">
        <f>AB8</f>
        <v>Russia</v>
      </c>
      <c r="F23" s="29">
        <v>3</v>
      </c>
      <c r="G23" s="30">
        <v>1</v>
      </c>
      <c r="H23" s="98" t="str">
        <f>AB10</f>
        <v>Egypt</v>
      </c>
      <c r="J23" s="66" t="str">
        <f>VLOOKUP(3,AA20:AK23,2,FALSE)</f>
        <v>Peru</v>
      </c>
      <c r="K23" s="33">
        <f>L23+M23+N23</f>
        <v>3</v>
      </c>
      <c r="L23" s="33">
        <f>VLOOKUP(3,AA20:AK23,3,FALSE)</f>
        <v>1</v>
      </c>
      <c r="M23" s="33">
        <f>VLOOKUP(3,AA20:AK23,4,FALSE)</f>
        <v>0</v>
      </c>
      <c r="N23" s="33">
        <f>VLOOKUP(3,AA20:AK23,5,FALSE)</f>
        <v>2</v>
      </c>
      <c r="O23" s="33" t="str">
        <f>VLOOKUP(3,AA20:AK23,6,FALSE) &amp; " - " &amp; VLOOKUP(3,AA20:AK23,7,FALSE)</f>
        <v>2 - 2</v>
      </c>
      <c r="P23" s="67">
        <f>L23*3+M23</f>
        <v>3</v>
      </c>
      <c r="R23" s="147">
        <f>DATE(2018,6,19)+TIME(7,0,0)+gmt_delta</f>
        <v>43270.75</v>
      </c>
      <c r="S23" s="152" t="str">
        <f t="shared" si="2"/>
        <v>Russia_win</v>
      </c>
      <c r="T23" s="152" t="str">
        <f t="shared" si="3"/>
        <v>Egypt_lose</v>
      </c>
      <c r="U23" s="148">
        <f t="shared" si="4"/>
        <v>0</v>
      </c>
      <c r="V23" s="147">
        <f t="shared" si="5"/>
        <v>0</v>
      </c>
      <c r="W23" s="147">
        <f t="shared" si="6"/>
        <v>0</v>
      </c>
      <c r="X23" s="147">
        <f t="shared" si="7"/>
        <v>0</v>
      </c>
      <c r="Y23" s="147">
        <f t="shared" si="9"/>
        <v>1</v>
      </c>
      <c r="AA23" s="147">
        <f>COUNTIF(AQ20:AQ23,CONCATENATE("&gt;=",AQ23))</f>
        <v>2</v>
      </c>
      <c r="AB23" s="148" t="str">
        <f>VLOOKUP("Denmark",T,lang,FALSE)</f>
        <v>Denmark</v>
      </c>
      <c r="AC23" s="147">
        <f>COUNTIF($S$7:$T$54,"=" &amp; AB23 &amp; "_win")</f>
        <v>1</v>
      </c>
      <c r="AD23" s="147">
        <f>COUNTIF($S$7:$T$54,"=" &amp; AB23 &amp; "_draw")</f>
        <v>2</v>
      </c>
      <c r="AE23" s="147">
        <f>COUNTIF($S$7:$T$54,"=" &amp; AB23 &amp; "_lose")</f>
        <v>0</v>
      </c>
      <c r="AF23" s="147">
        <f>SUMIF($E$7:$E$54,$AB23,$F$7:$F$54) + SUMIF($H$7:$H$54,$AB23,$G$7:$G$54)</f>
        <v>2</v>
      </c>
      <c r="AG23" s="147">
        <f>SUMIF($E$7:$E$54,$AB23,$G$7:$G$54) + SUMIF($H$7:$H$54,$AB23,$F$7:$F$54)</f>
        <v>1</v>
      </c>
      <c r="AH23" s="147">
        <f>(AF23-AG23)*100+AK23*10000+AF23</f>
        <v>50102</v>
      </c>
      <c r="AI23" s="147">
        <f>AF23-AG23</f>
        <v>1</v>
      </c>
      <c r="AJ23" s="147">
        <f>(AI23-AI25)/AI24</f>
        <v>0.66666666666666663</v>
      </c>
      <c r="AK23" s="147">
        <f>AC23*3+AD23</f>
        <v>5</v>
      </c>
      <c r="AL23" s="147">
        <f>AS23/AS24*1000+AT23/AT24*100+AW23/AW24*10+AU23/AU24</f>
        <v>0</v>
      </c>
      <c r="AM23" s="147">
        <f>VLOOKUP(AB23,fair_play,2,FALSE)</f>
        <v>-5</v>
      </c>
      <c r="AN23" s="147">
        <f t="shared" si="16"/>
        <v>2</v>
      </c>
      <c r="AO23" s="147">
        <f>VLOOKUP(AB23,fair_play,3,FALSE)</f>
        <v>7</v>
      </c>
      <c r="AP23" s="147">
        <f t="shared" si="17"/>
        <v>3</v>
      </c>
      <c r="AQ23" s="148">
        <f>1000*AK23/AK24+100*AJ23+10*AF23/AF24+1*AL23/AL24+0.00001*AN23+0.000001*AP23</f>
        <v>790.95240395238091</v>
      </c>
      <c r="AS23" s="150">
        <f>SUMPRODUCT(($S$7:$S$54=AB23&amp;"_win")*($U$7:$U$54))+SUMPRODUCT(($T$7:$T$54=AB23&amp;"_win")*($U$7:$U$54))</f>
        <v>0</v>
      </c>
      <c r="AT23" s="151">
        <f>SUMPRODUCT(($S$7:$S$54=AB23&amp;"_draw")*($U$7:$U$54))+SUMPRODUCT(($T$7:$T$54=AB23&amp;"_draw")*($U$7:$U$54))</f>
        <v>0</v>
      </c>
      <c r="AU23" s="151">
        <f>SUMPRODUCT(($E$7:$E$54=AB23)*($U$7:$U$54)*($F$7:$F$54))+SUMPRODUCT(($H$7:$H$54=AB23)*($U$7:$U$54)*($G$7:$G$54))</f>
        <v>0</v>
      </c>
      <c r="AV23" s="151">
        <f>SUMPRODUCT(($E$7:$E$54=AB23)*($U$7:$U$54)*($G$7:$G$54))+SUMPRODUCT(($H$7:$H$54=AB23)*($U$7:$U$54)*($F$7:$F$54))</f>
        <v>0</v>
      </c>
      <c r="AW23" s="151">
        <f>AU23-AV23</f>
        <v>0</v>
      </c>
      <c r="BB23" s="127"/>
      <c r="BC23" s="36" t="str">
        <f>AR51</f>
        <v>2H</v>
      </c>
      <c r="BD23" s="94"/>
      <c r="BE23" s="96"/>
      <c r="BF23" s="38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41"/>
      <c r="BV23" s="31"/>
      <c r="BW23" s="126">
        <v>64</v>
      </c>
      <c r="BX23" s="34" t="str">
        <f>T76</f>
        <v>W61</v>
      </c>
      <c r="BY23" s="93"/>
      <c r="BZ23" s="95"/>
      <c r="CA23" s="35"/>
    </row>
    <row r="24" spans="1:79" ht="15" customHeight="1" x14ac:dyDescent="0.25">
      <c r="A24" s="25">
        <v>18</v>
      </c>
      <c r="B24" s="26" t="str">
        <f t="shared" si="0"/>
        <v>Wed</v>
      </c>
      <c r="C24" s="27" t="str">
        <f t="shared" si="1"/>
        <v>Jun 20, 2018</v>
      </c>
      <c r="D24" s="28">
        <f t="shared" si="8"/>
        <v>0.625</v>
      </c>
      <c r="E24" s="101" t="str">
        <f>AB11</f>
        <v>Uruguay</v>
      </c>
      <c r="F24" s="29">
        <v>1</v>
      </c>
      <c r="G24" s="30">
        <v>0</v>
      </c>
      <c r="H24" s="98" t="str">
        <f>AB9</f>
        <v>Saudi Arabia</v>
      </c>
      <c r="J24" s="68" t="str">
        <f>VLOOKUP(4,AA20:AK23,2,FALSE)</f>
        <v>Australia</v>
      </c>
      <c r="K24" s="69">
        <f>L24+M24+N24</f>
        <v>3</v>
      </c>
      <c r="L24" s="69">
        <f>VLOOKUP(4,AA20:AK23,3,FALSE)</f>
        <v>0</v>
      </c>
      <c r="M24" s="69">
        <f>VLOOKUP(4,AA20:AK23,4,FALSE)</f>
        <v>1</v>
      </c>
      <c r="N24" s="69">
        <f>VLOOKUP(4,AA20:AK23,5,FALSE)</f>
        <v>2</v>
      </c>
      <c r="O24" s="69" t="str">
        <f>VLOOKUP(4,AA20:AK23,6,FALSE) &amp; " - " &amp; VLOOKUP(4,AA20:AK23,7,FALSE)</f>
        <v>2 - 5</v>
      </c>
      <c r="P24" s="70">
        <f>L24*3+M24</f>
        <v>1</v>
      </c>
      <c r="R24" s="147">
        <f>DATE(2018,6,20)+TIME(4,0,0)+gmt_delta</f>
        <v>43271.625</v>
      </c>
      <c r="S24" s="152" t="str">
        <f t="shared" si="2"/>
        <v>Uruguay_win</v>
      </c>
      <c r="T24" s="152" t="str">
        <f t="shared" si="3"/>
        <v>Saudi Arabia_lose</v>
      </c>
      <c r="U24" s="148">
        <f t="shared" si="4"/>
        <v>0</v>
      </c>
      <c r="V24" s="147">
        <f t="shared" si="5"/>
        <v>0</v>
      </c>
      <c r="W24" s="147">
        <f t="shared" si="6"/>
        <v>0</v>
      </c>
      <c r="X24" s="147">
        <f t="shared" si="7"/>
        <v>0</v>
      </c>
      <c r="Y24" s="147">
        <f t="shared" si="9"/>
        <v>1</v>
      </c>
      <c r="AC24" s="147">
        <f t="shared" ref="AC24:AL24" si="18">MAX(AC20:AC23)-MIN(AC20:AC23)+1</f>
        <v>3</v>
      </c>
      <c r="AD24" s="147">
        <f t="shared" si="18"/>
        <v>3</v>
      </c>
      <c r="AE24" s="147">
        <f t="shared" si="18"/>
        <v>3</v>
      </c>
      <c r="AF24" s="147">
        <f t="shared" si="18"/>
        <v>2</v>
      </c>
      <c r="AG24" s="147">
        <f t="shared" si="18"/>
        <v>5</v>
      </c>
      <c r="AH24" s="147">
        <f>MAX(AH20:AH23)-AH25+1</f>
        <v>60502</v>
      </c>
      <c r="AI24" s="147">
        <f>MAX(AI20:AI23)-AI25+1</f>
        <v>6</v>
      </c>
      <c r="AK24" s="147">
        <f t="shared" si="18"/>
        <v>7</v>
      </c>
      <c r="AL24" s="147">
        <f t="shared" si="18"/>
        <v>1</v>
      </c>
      <c r="AM24" s="147"/>
      <c r="AN24" s="147"/>
      <c r="AO24" s="147"/>
      <c r="AP24" s="147"/>
      <c r="AS24" s="147">
        <f>MAX(AS20:AS23)-MIN(AS20:AS23)+1</f>
        <v>1</v>
      </c>
      <c r="AT24" s="147">
        <f>MAX(AT20:AT23)-MIN(AT20:AT23)+1</f>
        <v>1</v>
      </c>
      <c r="AU24" s="147">
        <f>MAX(AU20:AU23)-MIN(AU20:AU23)+1</f>
        <v>1</v>
      </c>
      <c r="AV24" s="147">
        <f>MAX(AV20:AV23)-MIN(AV20:AV23)+1</f>
        <v>1</v>
      </c>
      <c r="AW24" s="147">
        <f>MAX(AW20:AW23)-MIN(AW20:AW23)+1</f>
        <v>1</v>
      </c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41"/>
      <c r="BV24" s="44"/>
      <c r="BW24" s="127"/>
      <c r="BX24" s="36" t="str">
        <f>T77</f>
        <v>W62</v>
      </c>
      <c r="BY24" s="94"/>
      <c r="BZ24" s="96"/>
      <c r="CA24" s="38"/>
    </row>
    <row r="25" spans="1:79" ht="15" customHeight="1" x14ac:dyDescent="0.25">
      <c r="A25" s="25">
        <v>19</v>
      </c>
      <c r="B25" s="26" t="str">
        <f t="shared" si="0"/>
        <v>Wed</v>
      </c>
      <c r="C25" s="27" t="str">
        <f t="shared" si="1"/>
        <v>Jun 20, 2018</v>
      </c>
      <c r="D25" s="28">
        <f t="shared" si="8"/>
        <v>0.5</v>
      </c>
      <c r="E25" s="101" t="str">
        <f>AB14</f>
        <v>Portugal</v>
      </c>
      <c r="F25" s="29">
        <v>1</v>
      </c>
      <c r="G25" s="30">
        <v>0</v>
      </c>
      <c r="H25" s="98" t="str">
        <f>AB16</f>
        <v>Morocco</v>
      </c>
      <c r="J25" s="42"/>
      <c r="K25" s="43"/>
      <c r="L25" s="43"/>
      <c r="M25" s="43"/>
      <c r="N25" s="43"/>
      <c r="O25" s="43"/>
      <c r="P25" s="43"/>
      <c r="R25" s="147">
        <f>DATE(2018,6,20)+TIME(1,0,0)+gmt_delta</f>
        <v>43271.5</v>
      </c>
      <c r="S25" s="152" t="str">
        <f t="shared" si="2"/>
        <v>Portugal_win</v>
      </c>
      <c r="T25" s="152" t="str">
        <f t="shared" si="3"/>
        <v>Morocco_lose</v>
      </c>
      <c r="U25" s="148">
        <f t="shared" si="4"/>
        <v>0</v>
      </c>
      <c r="V25" s="147">
        <f t="shared" si="5"/>
        <v>0</v>
      </c>
      <c r="W25" s="147">
        <f t="shared" si="6"/>
        <v>0</v>
      </c>
      <c r="X25" s="147">
        <f t="shared" si="7"/>
        <v>0</v>
      </c>
      <c r="Y25" s="147">
        <f t="shared" si="9"/>
        <v>1</v>
      </c>
      <c r="AH25" s="147">
        <f>MIN(AH20:AH23)</f>
        <v>9702</v>
      </c>
      <c r="AI25" s="147">
        <f>MIN(AI20:AI23)</f>
        <v>-3</v>
      </c>
      <c r="AO25" s="147"/>
      <c r="AP25" s="147"/>
      <c r="BB25" s="31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31"/>
      <c r="BD25" s="31"/>
      <c r="BE25" s="31"/>
      <c r="BF25" s="48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41"/>
      <c r="BV25" s="31"/>
      <c r="BW25" s="31"/>
      <c r="BX25" s="31"/>
      <c r="BY25" s="31"/>
      <c r="BZ25" s="31"/>
      <c r="CA25" s="31"/>
    </row>
    <row r="26" spans="1:79" ht="15" customHeight="1" x14ac:dyDescent="0.25">
      <c r="A26" s="25">
        <v>20</v>
      </c>
      <c r="B26" s="26" t="str">
        <f t="shared" si="0"/>
        <v>Wed</v>
      </c>
      <c r="C26" s="27" t="str">
        <f t="shared" si="1"/>
        <v>Jun 20, 2018</v>
      </c>
      <c r="D26" s="28">
        <f t="shared" si="8"/>
        <v>0.75</v>
      </c>
      <c r="E26" s="101" t="str">
        <f>AB17</f>
        <v>Iran</v>
      </c>
      <c r="F26" s="29">
        <v>0</v>
      </c>
      <c r="G26" s="30">
        <v>1</v>
      </c>
      <c r="H26" s="98" t="str">
        <f>AB15</f>
        <v>Spain</v>
      </c>
      <c r="J26" s="71" t="str">
        <f>INDEX(T,9,lang) &amp; " " &amp; "D"</f>
        <v>Group D</v>
      </c>
      <c r="K26" s="72" t="str">
        <f>INDEX(T,10,lang)</f>
        <v>PL</v>
      </c>
      <c r="L26" s="72" t="str">
        <f>INDEX(T,11,lang)</f>
        <v>W</v>
      </c>
      <c r="M26" s="72" t="str">
        <f>INDEX(T,12,lang)</f>
        <v>DRAW</v>
      </c>
      <c r="N26" s="72" t="str">
        <f>INDEX(T,13,lang)</f>
        <v>L</v>
      </c>
      <c r="O26" s="72" t="str">
        <f>INDEX(T,14,lang)</f>
        <v>GF - GA</v>
      </c>
      <c r="P26" s="73" t="str">
        <f>INDEX(T,15,lang)</f>
        <v>PNT</v>
      </c>
      <c r="R26" s="147">
        <f>DATE(2018,6,20)+TIME(7,0,0)+gmt_delta</f>
        <v>43271.75</v>
      </c>
      <c r="S26" s="152" t="str">
        <f t="shared" si="2"/>
        <v>Iran_lose</v>
      </c>
      <c r="T26" s="152" t="str">
        <f t="shared" si="3"/>
        <v>Spain_win</v>
      </c>
      <c r="U26" s="148">
        <f t="shared" si="4"/>
        <v>0</v>
      </c>
      <c r="V26" s="147">
        <f t="shared" si="5"/>
        <v>0</v>
      </c>
      <c r="W26" s="147">
        <f t="shared" si="6"/>
        <v>0</v>
      </c>
      <c r="X26" s="147">
        <f t="shared" si="7"/>
        <v>0</v>
      </c>
      <c r="Y26" s="147">
        <f t="shared" si="9"/>
        <v>-1</v>
      </c>
      <c r="AA26" s="147">
        <f>COUNTIF(AQ26:AQ29,CONCATENATE("&gt;=",AQ26))</f>
        <v>2</v>
      </c>
      <c r="AB26" s="148" t="str">
        <f>VLOOKUP("Argentina",T,lang,FALSE)</f>
        <v>Argentina</v>
      </c>
      <c r="AC26" s="147">
        <f>COUNTIF($S$7:$T$54,"=" &amp; AB26 &amp; "_win")</f>
        <v>1</v>
      </c>
      <c r="AD26" s="147">
        <f>COUNTIF($S$7:$T$54,"=" &amp; AB26 &amp; "_draw")</f>
        <v>1</v>
      </c>
      <c r="AE26" s="147">
        <f>COUNTIF($S$7:$T$54,"=" &amp; AB26 &amp; "_lose")</f>
        <v>1</v>
      </c>
      <c r="AF26" s="147">
        <f>SUMIF($E$7:$E$54,$AB26,$F$7:$F$54) + SUMIF($H$7:$H$54,$AB26,$G$7:$G$54)</f>
        <v>3</v>
      </c>
      <c r="AG26" s="147">
        <f>SUMIF($E$7:$E$54,$AB26,$G$7:$G$54) + SUMIF($H$7:$H$54,$AB26,$F$7:$F$54)</f>
        <v>5</v>
      </c>
      <c r="AH26" s="147">
        <f>(AF26-AG26)*100+AK26*10000+AF26</f>
        <v>39803</v>
      </c>
      <c r="AI26" s="147">
        <f>AF26-AG26</f>
        <v>-2</v>
      </c>
      <c r="AJ26" s="147">
        <f>(AI26-AI31)/AI30</f>
        <v>0.1</v>
      </c>
      <c r="AK26" s="147">
        <f>AC26*3+AD26</f>
        <v>4</v>
      </c>
      <c r="AL26" s="147">
        <f>AS26/AS30*1000+AT26/AT30*100+AW26/AW30*10+AU26/AU30</f>
        <v>0</v>
      </c>
      <c r="AM26" s="147">
        <f>VLOOKUP(AB26,fair_play,2,FALSE)</f>
        <v>-6</v>
      </c>
      <c r="AN26" s="147">
        <f>COUNTIF($AM$26:$AM$29,CONCATENATE("&lt;=",AM26))</f>
        <v>3</v>
      </c>
      <c r="AO26" s="147">
        <f>VLOOKUP(AB26,fair_play,3,FALSE)</f>
        <v>0</v>
      </c>
      <c r="AP26" s="147">
        <f>COUNTIF($AO$26:$AO$29,CONCATENATE("&gt;=",AO26))</f>
        <v>4</v>
      </c>
      <c r="AQ26" s="148">
        <f>1000*AK26/AK30+100*AJ26+10*AF26/AF30+1*AL26/AL30+0.00001*AN26+0.000001*AP26</f>
        <v>459.44447844444443</v>
      </c>
      <c r="AR26" s="149" t="str">
        <f>IF(SUM(AC26:AE29)=12,J27,INDEX(T,76,lang))</f>
        <v>Croatia</v>
      </c>
      <c r="AS26" s="150">
        <f>SUMPRODUCT(($S$7:$S$54=AB26&amp;"_win")*($U$7:$U$54))+SUMPRODUCT(($T$7:$T$54=AB26&amp;"_win")*($U$7:$U$54))</f>
        <v>0</v>
      </c>
      <c r="AT26" s="151">
        <f>SUMPRODUCT(($S$7:$S$54=AB26&amp;"_draw")*($U$7:$U$54))+SUMPRODUCT(($T$7:$T$54=AB26&amp;"_draw")*($U$7:$U$54))</f>
        <v>0</v>
      </c>
      <c r="AU26" s="151">
        <f>SUMPRODUCT(($E$7:$E$54=AB26)*($U$7:$U$54)*($F$7:$F$54))+SUMPRODUCT(($H$7:$H$54=AB26)*($U$7:$U$54)*($G$7:$G$54))</f>
        <v>0</v>
      </c>
      <c r="AV26" s="151">
        <f>SUMPRODUCT(($E$7:$E$54=AB26)*($U$7:$U$54)*($G$7:$G$54))+SUMPRODUCT(($H$7:$H$54=AB26)*($U$7:$U$54)*($F$7:$F$54))</f>
        <v>0</v>
      </c>
      <c r="AW26" s="151">
        <f>AU26-AV26</f>
        <v>0</v>
      </c>
      <c r="BB26" s="126">
        <v>51</v>
      </c>
      <c r="BC26" s="34" t="str">
        <f>AR14</f>
        <v>Spain</v>
      </c>
      <c r="BD26" s="93"/>
      <c r="BE26" s="95"/>
      <c r="BF26" s="35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41"/>
      <c r="BV26" s="31"/>
      <c r="BW26" s="31"/>
      <c r="BX26" s="31"/>
      <c r="BY26" s="31"/>
      <c r="BZ26" s="31"/>
      <c r="CA26" s="31"/>
    </row>
    <row r="27" spans="1:79" ht="15" customHeight="1" x14ac:dyDescent="0.25">
      <c r="A27" s="25">
        <v>21</v>
      </c>
      <c r="B27" s="26" t="str">
        <f t="shared" si="0"/>
        <v>Thu</v>
      </c>
      <c r="C27" s="27" t="str">
        <f t="shared" si="1"/>
        <v>Jun 21, 2018</v>
      </c>
      <c r="D27" s="28">
        <f t="shared" si="8"/>
        <v>0.625</v>
      </c>
      <c r="E27" s="101" t="str">
        <f>AB20</f>
        <v>France</v>
      </c>
      <c r="F27" s="29">
        <v>1</v>
      </c>
      <c r="G27" s="30">
        <v>0</v>
      </c>
      <c r="H27" s="98" t="str">
        <f>AB22</f>
        <v>Peru</v>
      </c>
      <c r="J27" s="63" t="str">
        <f>VLOOKUP(1,AA26:AK29,2,FALSE)</f>
        <v>Croatia</v>
      </c>
      <c r="K27" s="64">
        <f>L27+M27+N27</f>
        <v>3</v>
      </c>
      <c r="L27" s="64">
        <f>VLOOKUP(1,AA26:AK29,3,FALSE)</f>
        <v>3</v>
      </c>
      <c r="M27" s="64">
        <f>VLOOKUP(1,AA26:AK29,4,FALSE)</f>
        <v>0</v>
      </c>
      <c r="N27" s="64">
        <f>VLOOKUP(1,AA26:AK29,5,FALSE)</f>
        <v>0</v>
      </c>
      <c r="O27" s="64" t="str">
        <f>VLOOKUP(1,AA26:AK29,6,FALSE) &amp; " - " &amp; VLOOKUP(1,AA26:AK29,7,FALSE)</f>
        <v>7 - 1</v>
      </c>
      <c r="P27" s="65">
        <f>L27*3+M27</f>
        <v>9</v>
      </c>
      <c r="R27" s="147">
        <f>DATE(2018,6,21)+TIME(4,0,0)+gmt_delta</f>
        <v>43272.625</v>
      </c>
      <c r="S27" s="152" t="str">
        <f t="shared" si="2"/>
        <v>France_win</v>
      </c>
      <c r="T27" s="152" t="str">
        <f t="shared" si="3"/>
        <v>Peru_lose</v>
      </c>
      <c r="U27" s="148">
        <f t="shared" si="4"/>
        <v>0</v>
      </c>
      <c r="V27" s="147">
        <f t="shared" si="5"/>
        <v>0</v>
      </c>
      <c r="W27" s="147">
        <f t="shared" si="6"/>
        <v>0</v>
      </c>
      <c r="X27" s="147">
        <f t="shared" si="7"/>
        <v>0</v>
      </c>
      <c r="Y27" s="147">
        <f t="shared" si="9"/>
        <v>1</v>
      </c>
      <c r="AA27" s="147">
        <f>COUNTIF(AQ26:AQ29,CONCATENATE("&gt;=",AQ27))</f>
        <v>4</v>
      </c>
      <c r="AB27" s="148" t="str">
        <f>VLOOKUP("Iceland",T,lang,FALSE)</f>
        <v>Iceland</v>
      </c>
      <c r="AC27" s="147">
        <f>COUNTIF($S$7:$T$54,"=" &amp; AB27 &amp; "_win")</f>
        <v>0</v>
      </c>
      <c r="AD27" s="147">
        <f>COUNTIF($S$7:$T$54,"=" &amp; AB27 &amp; "_draw")</f>
        <v>1</v>
      </c>
      <c r="AE27" s="147">
        <f>COUNTIF($S$7:$T$54,"=" &amp; AB27 &amp; "_lose")</f>
        <v>2</v>
      </c>
      <c r="AF27" s="147">
        <f>SUMIF($E$7:$E$54,$AB27,$F$7:$F$54) + SUMIF($H$7:$H$54,$AB27,$G$7:$G$54)</f>
        <v>2</v>
      </c>
      <c r="AG27" s="147">
        <f>SUMIF($E$7:$E$54,$AB27,$G$7:$G$54) + SUMIF($H$7:$H$54,$AB27,$F$7:$F$54)</f>
        <v>5</v>
      </c>
      <c r="AH27" s="147">
        <f>(AF27-AG27)*100+AK27*10000+AF27</f>
        <v>9702</v>
      </c>
      <c r="AI27" s="147">
        <f>AF27-AG27</f>
        <v>-3</v>
      </c>
      <c r="AJ27" s="147">
        <f>(AI27-AI31)/AI30</f>
        <v>0</v>
      </c>
      <c r="AK27" s="147">
        <f>AC27*3+AD27</f>
        <v>1</v>
      </c>
      <c r="AL27" s="147">
        <f>AS27/AS30*1000+AT27/AT30*100+AW27/AW30*10+AU27/AU30</f>
        <v>0</v>
      </c>
      <c r="AM27" s="147">
        <f>VLOOKUP(AB27,fair_play,2,FALSE)</f>
        <v>-3</v>
      </c>
      <c r="AN27" s="147">
        <f t="shared" ref="AN27:AN29" si="19">COUNTIF($AM$26:$AM$29,CONCATENATE("&lt;=",AM27))</f>
        <v>4</v>
      </c>
      <c r="AO27" s="147">
        <f>VLOOKUP(AB27,fair_play,3,FALSE)</f>
        <v>12</v>
      </c>
      <c r="AP27" s="147">
        <f t="shared" ref="AP27:AP29" si="20">COUNTIF($AO$26:$AO$29,CONCATENATE("&gt;=",AO27))</f>
        <v>2</v>
      </c>
      <c r="AQ27" s="148">
        <f>1000*AK27/AK30+100*AJ27+10*AF27/AF30+1*AL27/AL30+0.00001*AN27+0.000001*AP27</f>
        <v>114.44448644444444</v>
      </c>
      <c r="AR27" s="149" t="str">
        <f>IF(SUM(AC26:AE29)=12,J28,INDEX(T,77,lang))</f>
        <v>Argentina</v>
      </c>
      <c r="AS27" s="150">
        <f>SUMPRODUCT(($S$7:$S$54=AB27&amp;"_win")*($U$7:$U$54))+SUMPRODUCT(($T$7:$T$54=AB27&amp;"_win")*($U$7:$U$54))</f>
        <v>0</v>
      </c>
      <c r="AT27" s="151">
        <f>SUMPRODUCT(($S$7:$S$54=AB27&amp;"_draw")*($U$7:$U$54))+SUMPRODUCT(($T$7:$T$54=AB27&amp;"_draw")*($U$7:$U$54))</f>
        <v>0</v>
      </c>
      <c r="AU27" s="151">
        <f>SUMPRODUCT(($E$7:$E$54=AB27)*($U$7:$U$54)*($F$7:$F$54))+SUMPRODUCT(($H$7:$H$54=AB27)*($U$7:$U$54)*($G$7:$G$54))</f>
        <v>0</v>
      </c>
      <c r="AV27" s="151">
        <f>SUMPRODUCT(($E$7:$E$54=AB27)*($U$7:$U$54)*($G$7:$G$54))+SUMPRODUCT(($H$7:$H$54=AB27)*($U$7:$U$54)*($F$7:$F$54))</f>
        <v>0</v>
      </c>
      <c r="AW27" s="151">
        <f>AU27-AV27</f>
        <v>0</v>
      </c>
      <c r="BB27" s="127"/>
      <c r="BC27" s="36" t="str">
        <f>AR9</f>
        <v>Russia</v>
      </c>
      <c r="BD27" s="94"/>
      <c r="BE27" s="96"/>
      <c r="BF27" s="38"/>
      <c r="BG27" s="39"/>
      <c r="BH27" s="31"/>
      <c r="BI27" s="31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31"/>
      <c r="BK27" s="31"/>
      <c r="BL27" s="31"/>
      <c r="BM27" s="40"/>
      <c r="BN27" s="31"/>
      <c r="BO27" s="31"/>
      <c r="BP27" s="31"/>
      <c r="BQ27" s="31"/>
      <c r="BR27" s="31"/>
      <c r="BS27" s="31"/>
      <c r="BT27" s="31"/>
      <c r="BU27" s="41"/>
      <c r="BV27" s="31"/>
      <c r="BW27" s="31"/>
      <c r="BX27" s="31"/>
      <c r="BY27" s="31"/>
      <c r="BZ27" s="31"/>
      <c r="CA27" s="31"/>
    </row>
    <row r="28" spans="1:79" ht="15" customHeight="1" x14ac:dyDescent="0.25">
      <c r="A28" s="25">
        <v>22</v>
      </c>
      <c r="B28" s="26" t="str">
        <f>INDEX(T,18+INT(MOD(R28-1,7)),lang)</f>
        <v>Thu</v>
      </c>
      <c r="C28" s="27" t="str">
        <f t="shared" si="1"/>
        <v>Jun 21, 2018</v>
      </c>
      <c r="D28" s="28">
        <f t="shared" si="8"/>
        <v>0.5</v>
      </c>
      <c r="E28" s="101" t="str">
        <f>AB23</f>
        <v>Denmark</v>
      </c>
      <c r="F28" s="29">
        <v>1</v>
      </c>
      <c r="G28" s="30">
        <v>1</v>
      </c>
      <c r="H28" s="98" t="str">
        <f>AB21</f>
        <v>Australia</v>
      </c>
      <c r="J28" s="66" t="str">
        <f>VLOOKUP(2,AA26:AK29,2,FALSE)</f>
        <v>Argentina</v>
      </c>
      <c r="K28" s="33">
        <f>L28+M28+N28</f>
        <v>3</v>
      </c>
      <c r="L28" s="33">
        <f>VLOOKUP(2,AA26:AK29,3,FALSE)</f>
        <v>1</v>
      </c>
      <c r="M28" s="33">
        <f>VLOOKUP(2,AA26:AK29,4,FALSE)</f>
        <v>1</v>
      </c>
      <c r="N28" s="33">
        <f>VLOOKUP(2,AA26:AK29,5,FALSE)</f>
        <v>1</v>
      </c>
      <c r="O28" s="33" t="str">
        <f>VLOOKUP(2,AA26:AK29,6,FALSE) &amp; " - " &amp; VLOOKUP(2,AA26:AK29,7,FALSE)</f>
        <v>3 - 5</v>
      </c>
      <c r="P28" s="67">
        <f>L28*3+M28</f>
        <v>4</v>
      </c>
      <c r="R28" s="147">
        <f>DATE(2018,6,21)+TIME(1,0,0)+gmt_delta</f>
        <v>43272.5</v>
      </c>
      <c r="S28" s="152" t="str">
        <f t="shared" si="2"/>
        <v>Denmark_draw</v>
      </c>
      <c r="T28" s="152" t="str">
        <f t="shared" si="3"/>
        <v>Australia_draw</v>
      </c>
      <c r="U28" s="148">
        <f t="shared" si="4"/>
        <v>0</v>
      </c>
      <c r="V28" s="147">
        <f t="shared" si="5"/>
        <v>0</v>
      </c>
      <c r="W28" s="147">
        <f t="shared" si="6"/>
        <v>0</v>
      </c>
      <c r="X28" s="147">
        <f t="shared" si="7"/>
        <v>0</v>
      </c>
      <c r="Y28" s="147">
        <f t="shared" si="9"/>
        <v>0</v>
      </c>
      <c r="AA28" s="147">
        <f>COUNTIF(AQ26:AQ29,CONCATENATE("&gt;=",AQ28))</f>
        <v>1</v>
      </c>
      <c r="AB28" s="148" t="str">
        <f>VLOOKUP("Croatia",T,lang,FALSE)</f>
        <v>Croatia</v>
      </c>
      <c r="AC28" s="147">
        <f>COUNTIF($S$7:$T$54,"=" &amp; AB28 &amp; "_win")</f>
        <v>3</v>
      </c>
      <c r="AD28" s="147">
        <f>COUNTIF($S$7:$T$54,"=" &amp; AB28 &amp; "_draw")</f>
        <v>0</v>
      </c>
      <c r="AE28" s="147">
        <f>COUNTIF($S$7:$T$54,"=" &amp; AB28 &amp; "_lose")</f>
        <v>0</v>
      </c>
      <c r="AF28" s="147">
        <f>SUMIF($E$7:$E$54,$AB28,$F$7:$F$54) + SUMIF($H$7:$H$54,$AB28,$G$7:$G$54)</f>
        <v>7</v>
      </c>
      <c r="AG28" s="147">
        <f>SUMIF($E$7:$E$54,$AB28,$G$7:$G$54) + SUMIF($H$7:$H$54,$AB28,$F$7:$F$54)</f>
        <v>1</v>
      </c>
      <c r="AH28" s="147">
        <f>(AF28-AG28)*100+AK28*10000+AF28</f>
        <v>90607</v>
      </c>
      <c r="AI28" s="147">
        <f>AF28-AG28</f>
        <v>6</v>
      </c>
      <c r="AJ28" s="147">
        <f>(AI28-AI31)/AI30</f>
        <v>0.9</v>
      </c>
      <c r="AK28" s="147">
        <f>AC28*3+AD28</f>
        <v>9</v>
      </c>
      <c r="AL28" s="147">
        <f>AS28/AS30*1000+AT28/AT30*100+AW28/AW30*10+AU28/AU30</f>
        <v>0</v>
      </c>
      <c r="AM28" s="147">
        <f>VLOOKUP(AB28,fair_play,2,FALSE)</f>
        <v>-8</v>
      </c>
      <c r="AN28" s="147">
        <f t="shared" si="19"/>
        <v>2</v>
      </c>
      <c r="AO28" s="147">
        <f>VLOOKUP(AB28,fair_play,3,FALSE)</f>
        <v>6</v>
      </c>
      <c r="AP28" s="147">
        <f t="shared" si="20"/>
        <v>3</v>
      </c>
      <c r="AQ28" s="148">
        <f>1000*AK28/AK30+100*AJ28+10*AF28/AF30+1*AL28/AL30+0.00001*AN28+0.000001*AP28</f>
        <v>1101.6666896666668</v>
      </c>
      <c r="AS28" s="150">
        <f>SUMPRODUCT(($S$7:$S$54=AB28&amp;"_win")*($U$7:$U$54))+SUMPRODUCT(($T$7:$T$54=AB28&amp;"_win")*($U$7:$U$54))</f>
        <v>0</v>
      </c>
      <c r="AT28" s="151">
        <f>SUMPRODUCT(($S$7:$S$54=AB28&amp;"_draw")*($U$7:$U$54))+SUMPRODUCT(($T$7:$T$54=AB28&amp;"_draw")*($U$7:$U$54))</f>
        <v>0</v>
      </c>
      <c r="AU28" s="151">
        <f>SUMPRODUCT(($E$7:$E$54=AB28)*($U$7:$U$54)*($F$7:$F$54))+SUMPRODUCT(($H$7:$H$54=AB28)*($U$7:$U$54)*($G$7:$G$54))</f>
        <v>0</v>
      </c>
      <c r="AV28" s="151">
        <f>SUMPRODUCT(($E$7:$E$54=AB28)*($U$7:$U$54)*($G$7:$G$54))+SUMPRODUCT(($H$7:$H$54=AB28)*($U$7:$U$54)*($F$7:$F$54))</f>
        <v>0</v>
      </c>
      <c r="AW28" s="151">
        <f>AU28-AV28</f>
        <v>0</v>
      </c>
      <c r="BB28" s="31"/>
      <c r="BC28" s="31"/>
      <c r="BD28" s="31"/>
      <c r="BE28" s="31"/>
      <c r="BF28" s="31"/>
      <c r="BG28" s="41"/>
      <c r="BH28" s="31"/>
      <c r="BI28" s="126">
        <v>59</v>
      </c>
      <c r="BJ28" s="34" t="str">
        <f>T60</f>
        <v>W51</v>
      </c>
      <c r="BK28" s="93"/>
      <c r="BL28" s="95"/>
      <c r="BM28" s="35"/>
      <c r="BN28" s="31"/>
      <c r="BO28" s="31"/>
      <c r="BP28" s="31"/>
      <c r="BQ28" s="31"/>
      <c r="BR28" s="31"/>
      <c r="BS28" s="31"/>
      <c r="BT28" s="31"/>
      <c r="BU28" s="41"/>
      <c r="BV28" s="31"/>
      <c r="BW28" s="31"/>
      <c r="BX28" s="31"/>
      <c r="BY28" s="31"/>
      <c r="BZ28" s="31"/>
      <c r="CA28" s="31"/>
    </row>
    <row r="29" spans="1:79" ht="15" customHeight="1" x14ac:dyDescent="0.25">
      <c r="A29" s="25">
        <v>23</v>
      </c>
      <c r="B29" s="26" t="str">
        <f t="shared" si="0"/>
        <v>Thu</v>
      </c>
      <c r="C29" s="27" t="str">
        <f t="shared" si="1"/>
        <v>Jun 21, 2018</v>
      </c>
      <c r="D29" s="28">
        <f t="shared" si="8"/>
        <v>0.75</v>
      </c>
      <c r="E29" s="101" t="str">
        <f>AB26</f>
        <v>Argentina</v>
      </c>
      <c r="F29" s="29">
        <v>0</v>
      </c>
      <c r="G29" s="30">
        <v>3</v>
      </c>
      <c r="H29" s="98" t="str">
        <f>AB28</f>
        <v>Croatia</v>
      </c>
      <c r="J29" s="66" t="str">
        <f>VLOOKUP(3,AA26:AK29,2,FALSE)</f>
        <v>Nigeria</v>
      </c>
      <c r="K29" s="33">
        <f>L29+M29+N29</f>
        <v>3</v>
      </c>
      <c r="L29" s="33">
        <f>VLOOKUP(3,AA26:AK29,3,FALSE)</f>
        <v>1</v>
      </c>
      <c r="M29" s="33">
        <f>VLOOKUP(3,AA26:AK29,4,FALSE)</f>
        <v>0</v>
      </c>
      <c r="N29" s="33">
        <f>VLOOKUP(3,AA26:AK29,5,FALSE)</f>
        <v>2</v>
      </c>
      <c r="O29" s="33" t="str">
        <f>VLOOKUP(3,AA26:AK29,6,FALSE) &amp; " - " &amp; VLOOKUP(3,AA26:AK29,7,FALSE)</f>
        <v>3 - 4</v>
      </c>
      <c r="P29" s="67">
        <f>L29*3+M29</f>
        <v>3</v>
      </c>
      <c r="R29" s="147">
        <f>DATE(2018,6,21)+TIME(7,0,0)+gmt_delta</f>
        <v>43272.75</v>
      </c>
      <c r="S29" s="152" t="str">
        <f t="shared" si="2"/>
        <v>Argentina_lose</v>
      </c>
      <c r="T29" s="152" t="str">
        <f t="shared" si="3"/>
        <v>Croatia_win</v>
      </c>
      <c r="U29" s="148">
        <f t="shared" si="4"/>
        <v>0</v>
      </c>
      <c r="V29" s="147">
        <f t="shared" si="5"/>
        <v>0</v>
      </c>
      <c r="W29" s="147">
        <f t="shared" si="6"/>
        <v>0</v>
      </c>
      <c r="X29" s="147">
        <f t="shared" si="7"/>
        <v>1</v>
      </c>
      <c r="Y29" s="147">
        <f t="shared" si="9"/>
        <v>-1</v>
      </c>
      <c r="AA29" s="147">
        <f>COUNTIF(AQ26:AQ29,CONCATENATE("&gt;=",AQ29))</f>
        <v>3</v>
      </c>
      <c r="AB29" s="148" t="str">
        <f>VLOOKUP("Nigeria",T,lang,FALSE)</f>
        <v>Nigeria</v>
      </c>
      <c r="AC29" s="147">
        <f>COUNTIF($S$7:$T$54,"=" &amp; AB29 &amp; "_win")</f>
        <v>1</v>
      </c>
      <c r="AD29" s="147">
        <f>COUNTIF($S$7:$T$54,"=" &amp; AB29 &amp; "_draw")</f>
        <v>0</v>
      </c>
      <c r="AE29" s="147">
        <f>COUNTIF($S$7:$T$54,"=" &amp; AB29 &amp; "_lose")</f>
        <v>2</v>
      </c>
      <c r="AF29" s="147">
        <f>SUMIF($E$7:$E$54,$AB29,$F$7:$F$54) + SUMIF($H$7:$H$54,$AB29,$G$7:$G$54)</f>
        <v>3</v>
      </c>
      <c r="AG29" s="147">
        <f>SUMIF($E$7:$E$54,$AB29,$G$7:$G$54) + SUMIF($H$7:$H$54,$AB29,$F$7:$F$54)</f>
        <v>4</v>
      </c>
      <c r="AH29" s="147">
        <f>(AF29-AG29)*100+AK29*10000+AF29</f>
        <v>29903</v>
      </c>
      <c r="AI29" s="147">
        <f>AF29-AG29</f>
        <v>-1</v>
      </c>
      <c r="AJ29" s="147">
        <f>(AI29-AI31)/AI30</f>
        <v>0.2</v>
      </c>
      <c r="AK29" s="147">
        <f>AC29*3+AD29</f>
        <v>3</v>
      </c>
      <c r="AL29" s="147">
        <f>AS29/AS30*1000+AT29/AT30*100+AW29/AW30*10+AU29/AU30</f>
        <v>0</v>
      </c>
      <c r="AM29" s="147">
        <f>VLOOKUP(AB29,fair_play,2,FALSE)</f>
        <v>-8</v>
      </c>
      <c r="AN29" s="147">
        <f t="shared" si="19"/>
        <v>2</v>
      </c>
      <c r="AO29" s="147">
        <f>VLOOKUP(AB29,fair_play,3,FALSE)</f>
        <v>18</v>
      </c>
      <c r="AP29" s="147">
        <f t="shared" si="20"/>
        <v>1</v>
      </c>
      <c r="AQ29" s="148">
        <f>1000*AK29/AK30+100*AJ29+10*AF29/AF30+1*AL29/AL30+0.00001*AN29+0.000001*AP29</f>
        <v>358.33335433333332</v>
      </c>
      <c r="AS29" s="150">
        <f>SUMPRODUCT(($S$7:$S$54=AB29&amp;"_win")*($U$7:$U$54))+SUMPRODUCT(($T$7:$T$54=AB29&amp;"_win")*($U$7:$U$54))</f>
        <v>0</v>
      </c>
      <c r="AT29" s="151">
        <f>SUMPRODUCT(($S$7:$S$54=AB29&amp;"_draw")*($U$7:$U$54))+SUMPRODUCT(($T$7:$T$54=AB29&amp;"_draw")*($U$7:$U$54))</f>
        <v>0</v>
      </c>
      <c r="AU29" s="151">
        <f>SUMPRODUCT(($E$7:$E$54=AB29)*($U$7:$U$54)*($F$7:$F$54))+SUMPRODUCT(($H$7:$H$54=AB29)*($U$7:$U$54)*($G$7:$G$54))</f>
        <v>0</v>
      </c>
      <c r="AV29" s="151">
        <f>SUMPRODUCT(($E$7:$E$54=AB29)*($U$7:$U$54)*($G$7:$G$54))+SUMPRODUCT(($H$7:$H$54=AB29)*($U$7:$U$54)*($F$7:$F$54))</f>
        <v>0</v>
      </c>
      <c r="AW29" s="151">
        <f>AU29-AV29</f>
        <v>0</v>
      </c>
      <c r="BB29" s="31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31"/>
      <c r="BD29" s="31"/>
      <c r="BE29" s="31"/>
      <c r="BF29" s="40"/>
      <c r="BG29" s="41"/>
      <c r="BH29" s="44"/>
      <c r="BI29" s="127"/>
      <c r="BJ29" s="36" t="str">
        <f>T61</f>
        <v>W52</v>
      </c>
      <c r="BK29" s="94"/>
      <c r="BL29" s="96"/>
      <c r="BM29" s="38"/>
      <c r="BN29" s="39"/>
      <c r="BO29" s="31"/>
      <c r="BP29" s="31"/>
      <c r="BQ29" s="31"/>
      <c r="BR29" s="31"/>
      <c r="BS29" s="31"/>
      <c r="BT29" s="31"/>
      <c r="BU29" s="41"/>
      <c r="BV29" s="31"/>
      <c r="BW29" s="31"/>
      <c r="BX29" s="31"/>
      <c r="BY29" s="31"/>
      <c r="BZ29" s="31"/>
      <c r="CA29" s="31"/>
    </row>
    <row r="30" spans="1:79" ht="15" customHeight="1" x14ac:dyDescent="0.25">
      <c r="A30" s="25">
        <v>24</v>
      </c>
      <c r="B30" s="26" t="str">
        <f t="shared" si="0"/>
        <v>Fri</v>
      </c>
      <c r="C30" s="27" t="str">
        <f t="shared" si="1"/>
        <v>Jun 22, 2018</v>
      </c>
      <c r="D30" s="28">
        <f t="shared" si="8"/>
        <v>0.625</v>
      </c>
      <c r="E30" s="101" t="str">
        <f>AB29</f>
        <v>Nigeria</v>
      </c>
      <c r="F30" s="29">
        <v>2</v>
      </c>
      <c r="G30" s="30">
        <v>0</v>
      </c>
      <c r="H30" s="98" t="str">
        <f>AB27</f>
        <v>Iceland</v>
      </c>
      <c r="J30" s="68" t="str">
        <f>VLOOKUP(4,AA26:AK29,2,FALSE)</f>
        <v>Iceland</v>
      </c>
      <c r="K30" s="69">
        <f>L30+M30+N30</f>
        <v>3</v>
      </c>
      <c r="L30" s="69">
        <f>VLOOKUP(4,AA26:AK29,3,FALSE)</f>
        <v>0</v>
      </c>
      <c r="M30" s="69">
        <f>VLOOKUP(4,AA26:AK29,4,FALSE)</f>
        <v>1</v>
      </c>
      <c r="N30" s="69">
        <f>VLOOKUP(4,AA26:AK29,5,FALSE)</f>
        <v>2</v>
      </c>
      <c r="O30" s="69" t="str">
        <f>VLOOKUP(4,AA26:AK29,6,FALSE) &amp; " - " &amp; VLOOKUP(4,AA26:AK29,7,FALSE)</f>
        <v>2 - 5</v>
      </c>
      <c r="P30" s="70">
        <f>L30*3+M30</f>
        <v>1</v>
      </c>
      <c r="R30" s="147">
        <f>DATE(2018,6,22)+TIME(4,0,0)+gmt_delta</f>
        <v>43273.625</v>
      </c>
      <c r="S30" s="152" t="str">
        <f t="shared" si="2"/>
        <v>Nigeria_win</v>
      </c>
      <c r="T30" s="152" t="str">
        <f t="shared" si="3"/>
        <v>Iceland_lose</v>
      </c>
      <c r="U30" s="148">
        <f t="shared" si="4"/>
        <v>0</v>
      </c>
      <c r="V30" s="147">
        <f t="shared" si="5"/>
        <v>0</v>
      </c>
      <c r="W30" s="147">
        <f t="shared" si="6"/>
        <v>0</v>
      </c>
      <c r="X30" s="147">
        <f t="shared" si="7"/>
        <v>0</v>
      </c>
      <c r="Y30" s="147">
        <f t="shared" si="9"/>
        <v>1</v>
      </c>
      <c r="AC30" s="147">
        <f t="shared" ref="AC30:AL30" si="21">MAX(AC26:AC29)-MIN(AC26:AC29)+1</f>
        <v>4</v>
      </c>
      <c r="AD30" s="147">
        <f t="shared" si="21"/>
        <v>2</v>
      </c>
      <c r="AE30" s="147">
        <f t="shared" si="21"/>
        <v>3</v>
      </c>
      <c r="AF30" s="147">
        <f t="shared" si="21"/>
        <v>6</v>
      </c>
      <c r="AG30" s="147">
        <f t="shared" si="21"/>
        <v>5</v>
      </c>
      <c r="AH30" s="147">
        <f>MAX(AH26:AH29)-AH31+1</f>
        <v>80906</v>
      </c>
      <c r="AI30" s="147">
        <f>MAX(AI26:AI29)-AI31+1</f>
        <v>10</v>
      </c>
      <c r="AK30" s="147">
        <f t="shared" si="21"/>
        <v>9</v>
      </c>
      <c r="AL30" s="147">
        <f t="shared" si="21"/>
        <v>1</v>
      </c>
      <c r="AM30" s="147"/>
      <c r="AN30" s="147"/>
      <c r="AO30" s="147"/>
      <c r="AP30" s="147"/>
      <c r="AS30" s="147">
        <f>MAX(AS26:AS29)-MIN(AS26:AS29)+1</f>
        <v>1</v>
      </c>
      <c r="AT30" s="147">
        <f>MAX(AT26:AT29)-MIN(AT26:AT29)+1</f>
        <v>1</v>
      </c>
      <c r="AU30" s="147">
        <f>MAX(AU26:AU29)-MIN(AU26:AU29)+1</f>
        <v>1</v>
      </c>
      <c r="AV30" s="147">
        <f>MAX(AV26:AV29)-MIN(AV26:AV29)+1</f>
        <v>1</v>
      </c>
      <c r="AW30" s="147">
        <f>MAX(AW26:AW29)-MIN(AW26:AW29)+1</f>
        <v>1</v>
      </c>
      <c r="BB30" s="126">
        <v>52</v>
      </c>
      <c r="BC30" s="34" t="str">
        <f>AR26</f>
        <v>Croatia</v>
      </c>
      <c r="BD30" s="93"/>
      <c r="BE30" s="95"/>
      <c r="BF30" s="35"/>
      <c r="BG30" s="45"/>
      <c r="BH30" s="31"/>
      <c r="BI30" s="31"/>
      <c r="BJ30" s="31"/>
      <c r="BK30" s="31"/>
      <c r="BL30" s="31"/>
      <c r="BM30" s="31"/>
      <c r="BN30" s="41"/>
      <c r="BO30" s="31"/>
      <c r="BP30" s="31"/>
      <c r="BQ30" s="31"/>
      <c r="BR30" s="31"/>
      <c r="BS30" s="31"/>
      <c r="BT30" s="31"/>
      <c r="BU30" s="41"/>
      <c r="BV30" s="31"/>
      <c r="BW30" s="31"/>
      <c r="BX30" s="31"/>
      <c r="BY30" s="31"/>
      <c r="BZ30" s="31"/>
      <c r="CA30" s="31"/>
    </row>
    <row r="31" spans="1:79" ht="15" customHeight="1" x14ac:dyDescent="0.25">
      <c r="A31" s="25">
        <v>25</v>
      </c>
      <c r="B31" s="26" t="str">
        <f t="shared" si="0"/>
        <v>Fri</v>
      </c>
      <c r="C31" s="27" t="str">
        <f t="shared" si="1"/>
        <v>Jun 22, 2018</v>
      </c>
      <c r="D31" s="28">
        <f t="shared" si="8"/>
        <v>0.5</v>
      </c>
      <c r="E31" s="101" t="str">
        <f>AB32</f>
        <v>Brazil</v>
      </c>
      <c r="F31" s="29">
        <v>2</v>
      </c>
      <c r="G31" s="30">
        <v>0</v>
      </c>
      <c r="H31" s="98" t="str">
        <f>AB34</f>
        <v>Costa Rica</v>
      </c>
      <c r="R31" s="147">
        <f>DATE(2018,6,22)+TIME(1,0,0)+gmt_delta</f>
        <v>43273.5</v>
      </c>
      <c r="S31" s="152" t="str">
        <f t="shared" si="2"/>
        <v>Brazil_win</v>
      </c>
      <c r="T31" s="152" t="str">
        <f t="shared" si="3"/>
        <v>Costa Rica_lose</v>
      </c>
      <c r="U31" s="148">
        <f t="shared" si="4"/>
        <v>0</v>
      </c>
      <c r="V31" s="147">
        <f t="shared" si="5"/>
        <v>0</v>
      </c>
      <c r="W31" s="147">
        <f t="shared" si="6"/>
        <v>0</v>
      </c>
      <c r="X31" s="147">
        <f t="shared" si="7"/>
        <v>0</v>
      </c>
      <c r="Y31" s="147">
        <f t="shared" si="9"/>
        <v>1</v>
      </c>
      <c r="AH31" s="147">
        <f>MIN(AH26:AH29)</f>
        <v>9702</v>
      </c>
      <c r="AI31" s="147">
        <f>MIN(AI26:AI29)</f>
        <v>-3</v>
      </c>
      <c r="AO31" s="147"/>
      <c r="AP31" s="147"/>
      <c r="BB31" s="127"/>
      <c r="BC31" s="36" t="str">
        <f>AR21</f>
        <v>Denmark</v>
      </c>
      <c r="BD31" s="94"/>
      <c r="BE31" s="96"/>
      <c r="BF31" s="38"/>
      <c r="BG31" s="31"/>
      <c r="BH31" s="31"/>
      <c r="BI31" s="31"/>
      <c r="BJ31" s="31"/>
      <c r="BK31" s="31"/>
      <c r="BL31" s="31"/>
      <c r="BM31" s="31"/>
      <c r="BN31" s="41"/>
      <c r="BO31" s="31"/>
      <c r="BP31" s="31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31"/>
      <c r="BR31" s="31"/>
      <c r="BS31" s="31"/>
      <c r="BT31" s="40"/>
      <c r="BU31" s="41"/>
      <c r="BV31" s="46"/>
      <c r="BW31" s="128" t="str">
        <f>INDEX(T,7,lang)</f>
        <v>Third-Place Play-Off</v>
      </c>
      <c r="BX31" s="129"/>
      <c r="BY31" s="129"/>
      <c r="BZ31" s="129"/>
      <c r="CA31" s="130"/>
    </row>
    <row r="32" spans="1:79" ht="15" customHeight="1" x14ac:dyDescent="0.25">
      <c r="A32" s="25">
        <v>26</v>
      </c>
      <c r="B32" s="26" t="str">
        <f t="shared" si="0"/>
        <v>Fri</v>
      </c>
      <c r="C32" s="27" t="str">
        <f t="shared" si="1"/>
        <v>Jun 22, 2018</v>
      </c>
      <c r="D32" s="28">
        <f t="shared" si="8"/>
        <v>0.75</v>
      </c>
      <c r="E32" s="101" t="str">
        <f>AB35</f>
        <v>Serbia</v>
      </c>
      <c r="F32" s="29">
        <v>1</v>
      </c>
      <c r="G32" s="30">
        <v>2</v>
      </c>
      <c r="H32" s="98" t="str">
        <f>AB33</f>
        <v>Switzerland</v>
      </c>
      <c r="J32" s="71" t="str">
        <f>INDEX(T,9,lang) &amp; " " &amp; "E"</f>
        <v>Group E</v>
      </c>
      <c r="K32" s="72" t="str">
        <f>INDEX(T,10,lang)</f>
        <v>PL</v>
      </c>
      <c r="L32" s="72" t="str">
        <f>INDEX(T,11,lang)</f>
        <v>W</v>
      </c>
      <c r="M32" s="72" t="str">
        <f>INDEX(T,12,lang)</f>
        <v>DRAW</v>
      </c>
      <c r="N32" s="72" t="str">
        <f>INDEX(T,13,lang)</f>
        <v>L</v>
      </c>
      <c r="O32" s="72" t="str">
        <f>INDEX(T,14,lang)</f>
        <v>GF - GA</v>
      </c>
      <c r="P32" s="73" t="str">
        <f>INDEX(T,15,lang)</f>
        <v>PNT</v>
      </c>
      <c r="R32" s="147">
        <f>DATE(2018,6,22)+TIME(7,0,0)+gmt_delta</f>
        <v>43273.75</v>
      </c>
      <c r="S32" s="152" t="str">
        <f t="shared" si="2"/>
        <v>Serbia_lose</v>
      </c>
      <c r="T32" s="152" t="str">
        <f t="shared" si="3"/>
        <v>Switzerland_win</v>
      </c>
      <c r="U32" s="148">
        <f t="shared" si="4"/>
        <v>0</v>
      </c>
      <c r="V32" s="147">
        <f t="shared" si="5"/>
        <v>0</v>
      </c>
      <c r="W32" s="147">
        <f t="shared" si="6"/>
        <v>0</v>
      </c>
      <c r="X32" s="147">
        <f t="shared" si="7"/>
        <v>0</v>
      </c>
      <c r="Y32" s="147">
        <f t="shared" si="9"/>
        <v>-1</v>
      </c>
      <c r="AA32" s="147">
        <f>COUNTIF(AQ32:AQ35,CONCATENATE("&gt;=",AQ32))</f>
        <v>1</v>
      </c>
      <c r="AB32" s="148" t="str">
        <f>VLOOKUP("Brazil",T,lang,FALSE)</f>
        <v>Brazil</v>
      </c>
      <c r="AC32" s="147">
        <f>COUNTIF($S$7:$T$54,"=" &amp; AB32 &amp; "_win")</f>
        <v>1</v>
      </c>
      <c r="AD32" s="147">
        <f>COUNTIF($S$7:$T$54,"=" &amp; AB32 &amp; "_draw")</f>
        <v>1</v>
      </c>
      <c r="AE32" s="147">
        <f>COUNTIF($S$7:$T$54,"=" &amp; AB32 &amp; "_lose")</f>
        <v>0</v>
      </c>
      <c r="AF32" s="147">
        <f>SUMIF($E$7:$E$54,$AB32,$F$7:$F$54) + SUMIF($H$7:$H$54,$AB32,$G$7:$G$54)</f>
        <v>3</v>
      </c>
      <c r="AG32" s="147">
        <f>SUMIF($E$7:$E$54,$AB32,$G$7:$G$54) + SUMIF($H$7:$H$54,$AB32,$F$7:$F$54)</f>
        <v>1</v>
      </c>
      <c r="AH32" s="147">
        <f>(AF32-AG32)*100+AK32*10000+AF32</f>
        <v>40203</v>
      </c>
      <c r="AI32" s="147">
        <f>AF32-AG32</f>
        <v>2</v>
      </c>
      <c r="AJ32" s="147">
        <f>(AI32-AI37)/AI36</f>
        <v>0.83333333333333337</v>
      </c>
      <c r="AK32" s="147">
        <f>AC32*3+AD32</f>
        <v>4</v>
      </c>
      <c r="AL32" s="147">
        <f>AS32/AS36*1000+AT32/AT36*100+AW32/AW36*10+AU32/AU36</f>
        <v>0</v>
      </c>
      <c r="AM32" s="147">
        <f>VLOOKUP(AB32,fair_play,2,FALSE)</f>
        <v>-3</v>
      </c>
      <c r="AN32" s="147">
        <f>COUNTIF($AM$32:$AM$35,CONCATENATE("&lt;=",AM32))</f>
        <v>4</v>
      </c>
      <c r="AO32" s="147">
        <f>VLOOKUP(AB32,fair_play,3,FALSE)</f>
        <v>3</v>
      </c>
      <c r="AP32" s="147">
        <f>COUNTIF($AO$32:$AO$35,CONCATENATE("&gt;=",AO32))</f>
        <v>4</v>
      </c>
      <c r="AQ32" s="148">
        <f>1000*AK32/AK36+100*AJ32+10*AF32/AF36+1*AL32/AL36+0.00001*AN32+0.000001*AP32</f>
        <v>890.83337733333337</v>
      </c>
      <c r="AR32" s="149" t="str">
        <f>IF(SUM(AC32:AE35)=12,J33,INDEX(T,78,lang))</f>
        <v>1E</v>
      </c>
      <c r="AS32" s="150">
        <f>SUMPRODUCT(($S$7:$S$54=AB32&amp;"_win")*($U$7:$U$54))+SUMPRODUCT(($T$7:$T$54=AB32&amp;"_win")*($U$7:$U$54))</f>
        <v>0</v>
      </c>
      <c r="AT32" s="151">
        <f>SUMPRODUCT(($S$7:$S$54=AB32&amp;"_draw")*($U$7:$U$54))+SUMPRODUCT(($T$7:$T$54=AB32&amp;"_draw")*($U$7:$U$54))</f>
        <v>0</v>
      </c>
      <c r="AU32" s="151">
        <f>SUMPRODUCT(($E$7:$E$54=AB32)*($U$7:$U$54)*($F$7:$F$54))+SUMPRODUCT(($H$7:$H$54=AB32)*($U$7:$U$54)*($G$7:$G$54))</f>
        <v>0</v>
      </c>
      <c r="AV32" s="151">
        <f>SUMPRODUCT(($E$7:$E$54=AB32)*($U$7:$U$54)*($G$7:$G$54))+SUMPRODUCT(($H$7:$H$54=AB32)*($U$7:$U$54)*($F$7:$F$54))</f>
        <v>0</v>
      </c>
      <c r="AW32" s="151">
        <f>AU32-AV32</f>
        <v>0</v>
      </c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41"/>
      <c r="BO32" s="31"/>
      <c r="BP32" s="126">
        <v>62</v>
      </c>
      <c r="BQ32" s="34" t="str">
        <f>T71</f>
        <v>W59</v>
      </c>
      <c r="BR32" s="93"/>
      <c r="BS32" s="95"/>
      <c r="BT32" s="35"/>
      <c r="BU32" s="45"/>
      <c r="BV32" s="46"/>
      <c r="BW32" s="131"/>
      <c r="BX32" s="132"/>
      <c r="BY32" s="132"/>
      <c r="BZ32" s="132"/>
      <c r="CA32" s="133"/>
    </row>
    <row r="33" spans="1:79" ht="15" customHeight="1" x14ac:dyDescent="0.25">
      <c r="A33" s="25">
        <v>27</v>
      </c>
      <c r="B33" s="26" t="str">
        <f t="shared" si="0"/>
        <v>Sat</v>
      </c>
      <c r="C33" s="27" t="str">
        <f t="shared" si="1"/>
        <v>Jun 23, 2018</v>
      </c>
      <c r="D33" s="28">
        <f t="shared" si="8"/>
        <v>0.75</v>
      </c>
      <c r="E33" s="101" t="str">
        <f>AB38</f>
        <v>Germany</v>
      </c>
      <c r="F33" s="29">
        <v>2</v>
      </c>
      <c r="G33" s="30">
        <v>1</v>
      </c>
      <c r="H33" s="98" t="str">
        <f>AB40</f>
        <v>Sweden</v>
      </c>
      <c r="J33" s="63" t="str">
        <f>VLOOKUP(1,AA32:AK35,2,FALSE)</f>
        <v>Brazil</v>
      </c>
      <c r="K33" s="64">
        <f>L33+M33+N33</f>
        <v>2</v>
      </c>
      <c r="L33" s="64">
        <f>VLOOKUP(1,AA32:AK35,3,FALSE)</f>
        <v>1</v>
      </c>
      <c r="M33" s="64">
        <f>VLOOKUP(1,AA32:AK35,4,FALSE)</f>
        <v>1</v>
      </c>
      <c r="N33" s="64">
        <f>VLOOKUP(1,AA32:AK35,5,FALSE)</f>
        <v>0</v>
      </c>
      <c r="O33" s="64" t="str">
        <f>VLOOKUP(1,AA32:AK35,6,FALSE) &amp; " - " &amp; VLOOKUP(1,AA32:AK35,7,FALSE)</f>
        <v>3 - 1</v>
      </c>
      <c r="P33" s="65">
        <f>L33*3+M33</f>
        <v>4</v>
      </c>
      <c r="R33" s="147">
        <f>DATE(2018,6,23)+TIME(7,0,0)+gmt_delta</f>
        <v>43274.75</v>
      </c>
      <c r="S33" s="152" t="str">
        <f t="shared" si="2"/>
        <v>Germany_win</v>
      </c>
      <c r="T33" s="152" t="str">
        <f t="shared" si="3"/>
        <v>Sweden_lose</v>
      </c>
      <c r="U33" s="148">
        <f t="shared" si="4"/>
        <v>1</v>
      </c>
      <c r="V33" s="147">
        <f t="shared" si="5"/>
        <v>2</v>
      </c>
      <c r="W33" s="147">
        <f t="shared" si="6"/>
        <v>1</v>
      </c>
      <c r="X33" s="147">
        <f t="shared" si="7"/>
        <v>0</v>
      </c>
      <c r="Y33" s="147">
        <f t="shared" si="9"/>
        <v>1</v>
      </c>
      <c r="AA33" s="147">
        <f>COUNTIF(AQ32:AQ35,CONCATENATE("&gt;=",AQ33))</f>
        <v>2</v>
      </c>
      <c r="AB33" s="148" t="str">
        <f>VLOOKUP("Switzerland",T,lang,FALSE)</f>
        <v>Switzerland</v>
      </c>
      <c r="AC33" s="147">
        <f>COUNTIF($S$7:$T$54,"=" &amp; AB33 &amp; "_win")</f>
        <v>1</v>
      </c>
      <c r="AD33" s="147">
        <f>COUNTIF($S$7:$T$54,"=" &amp; AB33 &amp; "_draw")</f>
        <v>1</v>
      </c>
      <c r="AE33" s="147">
        <f>COUNTIF($S$7:$T$54,"=" &amp; AB33 &amp; "_lose")</f>
        <v>0</v>
      </c>
      <c r="AF33" s="147">
        <f>SUMIF($E$7:$E$54,$AB33,$F$7:$F$54) + SUMIF($H$7:$H$54,$AB33,$G$7:$G$54)</f>
        <v>3</v>
      </c>
      <c r="AG33" s="147">
        <f>SUMIF($E$7:$E$54,$AB33,$G$7:$G$54) + SUMIF($H$7:$H$54,$AB33,$F$7:$F$54)</f>
        <v>2</v>
      </c>
      <c r="AH33" s="147">
        <f>(AF33-AG33)*100+AK33*10000+AF33</f>
        <v>40103</v>
      </c>
      <c r="AI33" s="147">
        <f>AF33-AG33</f>
        <v>1</v>
      </c>
      <c r="AJ33" s="147">
        <f>(AI33-AI37)/AI36</f>
        <v>0.66666666666666663</v>
      </c>
      <c r="AK33" s="147">
        <f>AC33*3+AD33</f>
        <v>4</v>
      </c>
      <c r="AL33" s="147">
        <f>AS33/AS36*1000+AT33/AT36*100+AW33/AW36*10+AU33/AU36</f>
        <v>0</v>
      </c>
      <c r="AM33" s="147">
        <f>VLOOKUP(AB33,fair_play,2,FALSE)</f>
        <v>-4</v>
      </c>
      <c r="AN33" s="147">
        <f t="shared" ref="AN33:AN35" si="22">COUNTIF($AM$32:$AM$35,CONCATENATE("&lt;=",AM33))</f>
        <v>2</v>
      </c>
      <c r="AO33" s="147">
        <f>VLOOKUP(AB33,fair_play,3,FALSE)</f>
        <v>29</v>
      </c>
      <c r="AP33" s="147">
        <f t="shared" ref="AP33:AP35" si="23">COUNTIF($AO$32:$AO$35,CONCATENATE("&gt;=",AO33))</f>
        <v>1</v>
      </c>
      <c r="AQ33" s="148">
        <f>1000*AK33/AK36+100*AJ33+10*AF33/AF36+1*AL33/AL36+0.00001*AN33+0.000001*AP33</f>
        <v>874.16668766666658</v>
      </c>
      <c r="AR33" s="149" t="str">
        <f>IF(SUM(AC32:AE35)=12,J34,INDEX(T,79,lang))</f>
        <v>2E</v>
      </c>
      <c r="AS33" s="150">
        <f>SUMPRODUCT(($S$7:$S$54=AB33&amp;"_win")*($U$7:$U$54))+SUMPRODUCT(($T$7:$T$54=AB33&amp;"_win")*($U$7:$U$54))</f>
        <v>0</v>
      </c>
      <c r="AT33" s="151">
        <f>SUMPRODUCT(($S$7:$S$54=AB33&amp;"_draw")*($U$7:$U$54))+SUMPRODUCT(($T$7:$T$54=AB33&amp;"_draw")*($U$7:$U$54))</f>
        <v>0</v>
      </c>
      <c r="AU33" s="151">
        <f>SUMPRODUCT(($E$7:$E$54=AB33)*($U$7:$U$54)*($F$7:$F$54))+SUMPRODUCT(($H$7:$H$54=AB33)*($U$7:$U$54)*($G$7:$G$54))</f>
        <v>0</v>
      </c>
      <c r="AV33" s="151">
        <f>SUMPRODUCT(($E$7:$E$54=AB33)*($U$7:$U$54)*($G$7:$G$54))+SUMPRODUCT(($H$7:$H$54=AB33)*($U$7:$U$54)*($F$7:$F$54))</f>
        <v>0</v>
      </c>
      <c r="AW33" s="151">
        <f>AU33-AV33</f>
        <v>0</v>
      </c>
      <c r="BB33" s="31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31"/>
      <c r="BD33" s="31"/>
      <c r="BE33" s="31"/>
      <c r="BF33" s="40"/>
      <c r="BG33" s="31"/>
      <c r="BH33" s="31"/>
      <c r="BI33" s="31"/>
      <c r="BJ33" s="31"/>
      <c r="BK33" s="31"/>
      <c r="BL33" s="31"/>
      <c r="BM33" s="31"/>
      <c r="BN33" s="41"/>
      <c r="BO33" s="44"/>
      <c r="BP33" s="127"/>
      <c r="BQ33" s="36" t="str">
        <f>T72</f>
        <v>W60</v>
      </c>
      <c r="BR33" s="94"/>
      <c r="BS33" s="96"/>
      <c r="BT33" s="38"/>
      <c r="BU33" s="46"/>
      <c r="BV33" s="46"/>
      <c r="BW33" s="31"/>
      <c r="BX33" s="31"/>
      <c r="BY33" s="31"/>
      <c r="BZ33" s="31"/>
      <c r="CA33" s="31"/>
    </row>
    <row r="34" spans="1:79" ht="15" customHeight="1" x14ac:dyDescent="0.25">
      <c r="A34" s="25">
        <v>28</v>
      </c>
      <c r="B34" s="26" t="str">
        <f t="shared" si="0"/>
        <v>Sat</v>
      </c>
      <c r="C34" s="27" t="str">
        <f t="shared" si="1"/>
        <v>Jun 23, 2018</v>
      </c>
      <c r="D34" s="28">
        <f t="shared" si="8"/>
        <v>0.625</v>
      </c>
      <c r="E34" s="101" t="str">
        <f>AB41</f>
        <v>Korea Republic</v>
      </c>
      <c r="F34" s="29">
        <v>1</v>
      </c>
      <c r="G34" s="30">
        <v>2</v>
      </c>
      <c r="H34" s="98" t="str">
        <f>AB39</f>
        <v>Mexico</v>
      </c>
      <c r="J34" s="66" t="str">
        <f>VLOOKUP(2,AA32:AK35,2,FALSE)</f>
        <v>Switzerland</v>
      </c>
      <c r="K34" s="33">
        <f>L34+M34+N34</f>
        <v>2</v>
      </c>
      <c r="L34" s="33">
        <f>VLOOKUP(2,AA32:AK35,3,FALSE)</f>
        <v>1</v>
      </c>
      <c r="M34" s="33">
        <f>VLOOKUP(2,AA32:AK35,4,FALSE)</f>
        <v>1</v>
      </c>
      <c r="N34" s="33">
        <f>VLOOKUP(2,AA32:AK35,5,FALSE)</f>
        <v>0</v>
      </c>
      <c r="O34" s="33" t="str">
        <f>VLOOKUP(2,AA32:AK35,6,FALSE) &amp; " - " &amp; VLOOKUP(2,AA32:AK35,7,FALSE)</f>
        <v>3 - 2</v>
      </c>
      <c r="P34" s="67">
        <f>L34*3+M34</f>
        <v>4</v>
      </c>
      <c r="R34" s="147">
        <f>DATE(2018,6,23)+TIME(4,0,0)+gmt_delta</f>
        <v>43274.625</v>
      </c>
      <c r="S34" s="152" t="str">
        <f t="shared" si="2"/>
        <v>Korea Republic_lose</v>
      </c>
      <c r="T34" s="152" t="str">
        <f t="shared" si="3"/>
        <v>Mexico_win</v>
      </c>
      <c r="U34" s="148">
        <f t="shared" si="4"/>
        <v>0</v>
      </c>
      <c r="V34" s="147">
        <f t="shared" si="5"/>
        <v>0</v>
      </c>
      <c r="W34" s="147">
        <f t="shared" si="6"/>
        <v>0</v>
      </c>
      <c r="X34" s="147">
        <f t="shared" si="7"/>
        <v>0</v>
      </c>
      <c r="Y34" s="147">
        <f t="shared" si="9"/>
        <v>-1</v>
      </c>
      <c r="AA34" s="147">
        <f>COUNTIF(AQ32:AQ35,CONCATENATE("&gt;=",AQ34))</f>
        <v>4</v>
      </c>
      <c r="AB34" s="148" t="str">
        <f>VLOOKUP("Costa Rica",T,lang,FALSE)</f>
        <v>Costa Rica</v>
      </c>
      <c r="AC34" s="147">
        <f>COUNTIF($S$7:$T$54,"=" &amp; AB34 &amp; "_win")</f>
        <v>0</v>
      </c>
      <c r="AD34" s="147">
        <f>COUNTIF($S$7:$T$54,"=" &amp; AB34 &amp; "_draw")</f>
        <v>0</v>
      </c>
      <c r="AE34" s="147">
        <f>COUNTIF($S$7:$T$54,"=" &amp; AB34 &amp; "_lose")</f>
        <v>2</v>
      </c>
      <c r="AF34" s="147">
        <f>SUMIF($E$7:$E$54,$AB34,$F$7:$F$54) + SUMIF($H$7:$H$54,$AB34,$G$7:$G$54)</f>
        <v>0</v>
      </c>
      <c r="AG34" s="147">
        <f>SUMIF($E$7:$E$54,$AB34,$G$7:$G$54) + SUMIF($H$7:$H$54,$AB34,$F$7:$F$54)</f>
        <v>3</v>
      </c>
      <c r="AH34" s="147">
        <f>(AF34-AG34)*100+AK34*10000+AF34</f>
        <v>-300</v>
      </c>
      <c r="AI34" s="147">
        <f>AF34-AG34</f>
        <v>-3</v>
      </c>
      <c r="AJ34" s="147">
        <f>(AI34-AI37)/AI36</f>
        <v>0</v>
      </c>
      <c r="AK34" s="147">
        <f>AC34*3+AD34</f>
        <v>0</v>
      </c>
      <c r="AL34" s="147">
        <f>AS34/AS36*1000+AT34/AT36*100+AW34/AW36*10+AU34/AU36</f>
        <v>0</v>
      </c>
      <c r="AM34" s="147">
        <f>VLOOKUP(AB34,fair_play,2,FALSE)</f>
        <v>-3</v>
      </c>
      <c r="AN34" s="147">
        <f t="shared" si="22"/>
        <v>4</v>
      </c>
      <c r="AO34" s="147">
        <f>VLOOKUP(AB34,fair_play,3,FALSE)</f>
        <v>5</v>
      </c>
      <c r="AP34" s="147">
        <f t="shared" si="23"/>
        <v>3</v>
      </c>
      <c r="AQ34" s="148">
        <f>1000*AK34/AK36+100*AJ34+10*AF34/AF36+1*AL34/AL36+0.00001*AN34+0.000001*AP34</f>
        <v>4.3000000000000002E-5</v>
      </c>
      <c r="AS34" s="150">
        <f>SUMPRODUCT(($S$7:$S$54=AB34&amp;"_win")*($U$7:$U$54))+SUMPRODUCT(($T$7:$T$54=AB34&amp;"_win")*($U$7:$U$54))</f>
        <v>0</v>
      </c>
      <c r="AT34" s="151">
        <f>SUMPRODUCT(($S$7:$S$54=AB34&amp;"_draw")*($U$7:$U$54))+SUMPRODUCT(($T$7:$T$54=AB34&amp;"_draw")*($U$7:$U$54))</f>
        <v>0</v>
      </c>
      <c r="AU34" s="151">
        <f>SUMPRODUCT(($E$7:$E$54=AB34)*($U$7:$U$54)*($F$7:$F$54))+SUMPRODUCT(($H$7:$H$54=AB34)*($U$7:$U$54)*($G$7:$G$54))</f>
        <v>0</v>
      </c>
      <c r="AV34" s="151">
        <f>SUMPRODUCT(($E$7:$E$54=AB34)*($U$7:$U$54)*($G$7:$G$54))+SUMPRODUCT(($H$7:$H$54=AB34)*($U$7:$U$54)*($F$7:$F$54))</f>
        <v>0</v>
      </c>
      <c r="AW34" s="151">
        <f>AU34-AV34</f>
        <v>0</v>
      </c>
      <c r="BB34" s="126">
        <v>55</v>
      </c>
      <c r="BC34" s="34" t="str">
        <f>AR38</f>
        <v>1F</v>
      </c>
      <c r="BD34" s="93"/>
      <c r="BE34" s="95"/>
      <c r="BF34" s="35"/>
      <c r="BG34" s="31"/>
      <c r="BH34" s="31"/>
      <c r="BI34" s="31"/>
      <c r="BJ34" s="31"/>
      <c r="BK34" s="31"/>
      <c r="BL34" s="31"/>
      <c r="BM34" s="31"/>
      <c r="BN34" s="41"/>
      <c r="BO34" s="31"/>
      <c r="BP34" s="31"/>
      <c r="BQ34" s="31"/>
      <c r="BR34" s="31"/>
      <c r="BS34" s="31"/>
      <c r="BT34" s="31"/>
      <c r="BU34" s="31"/>
      <c r="BV34" s="31"/>
      <c r="BW34" s="31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31"/>
      <c r="BY34" s="31"/>
      <c r="BZ34" s="31"/>
      <c r="CA34" s="40"/>
    </row>
    <row r="35" spans="1:79" ht="15" customHeight="1" x14ac:dyDescent="0.25">
      <c r="A35" s="25">
        <v>29</v>
      </c>
      <c r="B35" s="26" t="str">
        <f t="shared" si="0"/>
        <v>Sat</v>
      </c>
      <c r="C35" s="27" t="str">
        <f t="shared" si="1"/>
        <v>Jun 23, 2018</v>
      </c>
      <c r="D35" s="28">
        <f t="shared" si="8"/>
        <v>0.5</v>
      </c>
      <c r="E35" s="101" t="str">
        <f>AB44</f>
        <v>Belgium</v>
      </c>
      <c r="F35" s="29">
        <v>5</v>
      </c>
      <c r="G35" s="30">
        <v>2</v>
      </c>
      <c r="H35" s="98" t="str">
        <f>AB46</f>
        <v>Tunisia</v>
      </c>
      <c r="J35" s="66" t="str">
        <f>VLOOKUP(3,AA32:AK35,2,FALSE)</f>
        <v>Serbia</v>
      </c>
      <c r="K35" s="33">
        <f>L35+M35+N35</f>
        <v>2</v>
      </c>
      <c r="L35" s="33">
        <f>VLOOKUP(3,AA32:AK35,3,FALSE)</f>
        <v>1</v>
      </c>
      <c r="M35" s="33">
        <f>VLOOKUP(3,AA32:AK35,4,FALSE)</f>
        <v>0</v>
      </c>
      <c r="N35" s="33">
        <f>VLOOKUP(3,AA32:AK35,5,FALSE)</f>
        <v>1</v>
      </c>
      <c r="O35" s="33" t="str">
        <f>VLOOKUP(3,AA32:AK35,6,FALSE) &amp; " - " &amp; VLOOKUP(3,AA32:AK35,7,FALSE)</f>
        <v>2 - 2</v>
      </c>
      <c r="P35" s="67">
        <f>L35*3+M35</f>
        <v>3</v>
      </c>
      <c r="R35" s="147">
        <f>DATE(2018,6,23)+TIME(1,0,0)+gmt_delta</f>
        <v>43274.5</v>
      </c>
      <c r="S35" s="152" t="str">
        <f t="shared" si="2"/>
        <v>Belgium_win</v>
      </c>
      <c r="T35" s="152" t="str">
        <f t="shared" si="3"/>
        <v>Tunisia_lose</v>
      </c>
      <c r="U35" s="148">
        <f t="shared" si="4"/>
        <v>0</v>
      </c>
      <c r="V35" s="147">
        <f t="shared" si="5"/>
        <v>0</v>
      </c>
      <c r="W35" s="147">
        <f t="shared" si="6"/>
        <v>0</v>
      </c>
      <c r="X35" s="147">
        <f t="shared" si="7"/>
        <v>0</v>
      </c>
      <c r="Y35" s="147">
        <f t="shared" si="9"/>
        <v>1</v>
      </c>
      <c r="AA35" s="147">
        <f>COUNTIF(AQ32:AQ35,CONCATENATE("&gt;=",AQ35))</f>
        <v>3</v>
      </c>
      <c r="AB35" s="148" t="str">
        <f>VLOOKUP("Serbia",T,lang,FALSE)</f>
        <v>Serbia</v>
      </c>
      <c r="AC35" s="147">
        <f>COUNTIF($S$7:$T$54,"=" &amp; AB35 &amp; "_win")</f>
        <v>1</v>
      </c>
      <c r="AD35" s="147">
        <f>COUNTIF($S$7:$T$54,"=" &amp; AB35 &amp; "_draw")</f>
        <v>0</v>
      </c>
      <c r="AE35" s="147">
        <f>COUNTIF($S$7:$T$54,"=" &amp; AB35 &amp; "_lose")</f>
        <v>1</v>
      </c>
      <c r="AF35" s="147">
        <f>SUMIF($E$7:$E$54,$AB35,$F$7:$F$54) + SUMIF($H$7:$H$54,$AB35,$G$7:$G$54)</f>
        <v>2</v>
      </c>
      <c r="AG35" s="147">
        <f>SUMIF($E$7:$E$54,$AB35,$G$7:$G$54) + SUMIF($H$7:$H$54,$AB35,$F$7:$F$54)</f>
        <v>2</v>
      </c>
      <c r="AH35" s="147">
        <f>(AF35-AG35)*100+AK35*10000+AF35</f>
        <v>30002</v>
      </c>
      <c r="AI35" s="147">
        <f>AF35-AG35</f>
        <v>0</v>
      </c>
      <c r="AJ35" s="147">
        <f>(AI35-AI37)/AI36</f>
        <v>0.5</v>
      </c>
      <c r="AK35" s="147">
        <f>AC35*3+AD35</f>
        <v>3</v>
      </c>
      <c r="AL35" s="147">
        <f>AS35/AS36*1000+AT35/AT36*100+AW35/AW36*10+AU35/AU36</f>
        <v>0</v>
      </c>
      <c r="AM35" s="147">
        <f>VLOOKUP(AB35,fair_play,2,FALSE)</f>
        <v>-6</v>
      </c>
      <c r="AN35" s="147">
        <f t="shared" si="22"/>
        <v>1</v>
      </c>
      <c r="AO35" s="147">
        <f>VLOOKUP(AB35,fair_play,3,FALSE)</f>
        <v>26</v>
      </c>
      <c r="AP35" s="147">
        <f t="shared" si="23"/>
        <v>2</v>
      </c>
      <c r="AQ35" s="148">
        <f>1000*AK35/AK36+100*AJ35+10*AF35/AF36+1*AL35/AL36+0.00001*AN35+0.000001*AP35</f>
        <v>655.00001199999997</v>
      </c>
      <c r="AS35" s="150">
        <f>SUMPRODUCT(($S$7:$S$54=AB35&amp;"_win")*($U$7:$U$54))+SUMPRODUCT(($T$7:$T$54=AB35&amp;"_win")*($U$7:$U$54))</f>
        <v>0</v>
      </c>
      <c r="AT35" s="151">
        <f>SUMPRODUCT(($S$7:$S$54=AB35&amp;"_draw")*($U$7:$U$54))+SUMPRODUCT(($T$7:$T$54=AB35&amp;"_draw")*($U$7:$U$54))</f>
        <v>0</v>
      </c>
      <c r="AU35" s="151">
        <f>SUMPRODUCT(($E$7:$E$54=AB35)*($U$7:$U$54)*($F$7:$F$54))+SUMPRODUCT(($H$7:$H$54=AB35)*($U$7:$U$54)*($G$7:$G$54))</f>
        <v>0</v>
      </c>
      <c r="AV35" s="151">
        <f>SUMPRODUCT(($E$7:$E$54=AB35)*($U$7:$U$54)*($G$7:$G$54))+SUMPRODUCT(($H$7:$H$54=AB35)*($U$7:$U$54)*($F$7:$F$54))</f>
        <v>0</v>
      </c>
      <c r="AW35" s="151">
        <f>AU35-AV35</f>
        <v>0</v>
      </c>
      <c r="BB35" s="127"/>
      <c r="BC35" s="36" t="str">
        <f>AR33</f>
        <v>2E</v>
      </c>
      <c r="BD35" s="94"/>
      <c r="BE35" s="96"/>
      <c r="BF35" s="38"/>
      <c r="BG35" s="39"/>
      <c r="BH35" s="31"/>
      <c r="BI35" s="31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31"/>
      <c r="BK35" s="31"/>
      <c r="BL35" s="31"/>
      <c r="BM35" s="40"/>
      <c r="BN35" s="41"/>
      <c r="BO35" s="31"/>
      <c r="BP35" s="31"/>
      <c r="BQ35" s="31"/>
      <c r="BR35" s="31"/>
      <c r="BS35" s="31"/>
      <c r="BT35" s="31"/>
      <c r="BU35" s="31"/>
      <c r="BV35" s="31"/>
      <c r="BW35" s="126">
        <v>63</v>
      </c>
      <c r="BX35" s="34" t="str">
        <f>Z76</f>
        <v>L61</v>
      </c>
      <c r="BY35" s="93"/>
      <c r="BZ35" s="95"/>
      <c r="CA35" s="35"/>
    </row>
    <row r="36" spans="1:79" ht="15" customHeight="1" x14ac:dyDescent="0.25">
      <c r="A36" s="25">
        <v>30</v>
      </c>
      <c r="B36" s="26" t="str">
        <f t="shared" si="0"/>
        <v>Sun</v>
      </c>
      <c r="C36" s="27" t="str">
        <f t="shared" si="1"/>
        <v>Jun 24, 2018</v>
      </c>
      <c r="D36" s="28">
        <f t="shared" si="8"/>
        <v>0.5</v>
      </c>
      <c r="E36" s="101" t="str">
        <f>AB47</f>
        <v>England</v>
      </c>
      <c r="F36" s="29">
        <v>6</v>
      </c>
      <c r="G36" s="30">
        <v>1</v>
      </c>
      <c r="H36" s="98" t="str">
        <f>AB45</f>
        <v>Panama</v>
      </c>
      <c r="J36" s="68" t="str">
        <f>VLOOKUP(4,AA32:AK35,2,FALSE)</f>
        <v>Costa Rica</v>
      </c>
      <c r="K36" s="69">
        <f>L36+M36+N36</f>
        <v>2</v>
      </c>
      <c r="L36" s="69">
        <f>VLOOKUP(4,AA32:AK35,3,FALSE)</f>
        <v>0</v>
      </c>
      <c r="M36" s="69">
        <f>VLOOKUP(4,AA32:AK35,4,FALSE)</f>
        <v>0</v>
      </c>
      <c r="N36" s="69">
        <f>VLOOKUP(4,AA32:AK35,5,FALSE)</f>
        <v>2</v>
      </c>
      <c r="O36" s="69" t="str">
        <f>VLOOKUP(4,AA32:AK35,6,FALSE) &amp; " - " &amp; VLOOKUP(4,AA32:AK35,7,FALSE)</f>
        <v>0 - 3</v>
      </c>
      <c r="P36" s="70">
        <f>L36*3+M36</f>
        <v>0</v>
      </c>
      <c r="R36" s="147">
        <f>DATE(2018,6,24)+TIME(1,0,0)+gmt_delta</f>
        <v>43275.5</v>
      </c>
      <c r="S36" s="152" t="str">
        <f t="shared" si="2"/>
        <v>England_win</v>
      </c>
      <c r="T36" s="152" t="str">
        <f t="shared" si="3"/>
        <v>Panama_lose</v>
      </c>
      <c r="U36" s="148">
        <f t="shared" si="4"/>
        <v>0</v>
      </c>
      <c r="V36" s="147">
        <f t="shared" si="5"/>
        <v>0</v>
      </c>
      <c r="W36" s="147">
        <f t="shared" si="6"/>
        <v>0</v>
      </c>
      <c r="X36" s="147">
        <f t="shared" si="7"/>
        <v>0</v>
      </c>
      <c r="Y36" s="147">
        <f t="shared" si="9"/>
        <v>1</v>
      </c>
      <c r="AC36" s="147">
        <f t="shared" ref="AC36:AL36" si="24">MAX(AC32:AC35)-MIN(AC32:AC35)+1</f>
        <v>2</v>
      </c>
      <c r="AD36" s="147">
        <f t="shared" si="24"/>
        <v>2</v>
      </c>
      <c r="AE36" s="147">
        <f t="shared" si="24"/>
        <v>3</v>
      </c>
      <c r="AF36" s="147">
        <f t="shared" si="24"/>
        <v>4</v>
      </c>
      <c r="AG36" s="147">
        <f t="shared" si="24"/>
        <v>3</v>
      </c>
      <c r="AH36" s="147">
        <f>MAX(AH32:AH35)-AH37+1</f>
        <v>40504</v>
      </c>
      <c r="AI36" s="147">
        <f>MAX(AI32:AI35)-AI37+1</f>
        <v>6</v>
      </c>
      <c r="AK36" s="147">
        <f t="shared" si="24"/>
        <v>5</v>
      </c>
      <c r="AL36" s="147">
        <f t="shared" si="24"/>
        <v>1</v>
      </c>
      <c r="AM36" s="147"/>
      <c r="AN36" s="147"/>
      <c r="AO36" s="147"/>
      <c r="AP36" s="147"/>
      <c r="AS36" s="147">
        <f>MAX(AS32:AS35)-MIN(AS32:AS35)+1</f>
        <v>1</v>
      </c>
      <c r="AT36" s="147">
        <f>MAX(AT32:AT35)-MIN(AT32:AT35)+1</f>
        <v>1</v>
      </c>
      <c r="AU36" s="147">
        <f>MAX(AU32:AU35)-MIN(AU32:AU35)+1</f>
        <v>1</v>
      </c>
      <c r="AV36" s="147">
        <f>MAX(AV32:AV35)-MIN(AV32:AV35)+1</f>
        <v>1</v>
      </c>
      <c r="AW36" s="147">
        <f>MAX(AW32:AW35)-MIN(AW32:AW35)+1</f>
        <v>1</v>
      </c>
      <c r="BB36" s="31"/>
      <c r="BC36" s="31"/>
      <c r="BD36" s="31"/>
      <c r="BE36" s="31"/>
      <c r="BF36" s="31"/>
      <c r="BG36" s="41"/>
      <c r="BH36" s="31"/>
      <c r="BI36" s="126">
        <v>60</v>
      </c>
      <c r="BJ36" s="34" t="str">
        <f>T64</f>
        <v>W55</v>
      </c>
      <c r="BK36" s="93"/>
      <c r="BL36" s="95"/>
      <c r="BM36" s="35"/>
      <c r="BN36" s="45"/>
      <c r="BO36" s="31"/>
      <c r="BP36" s="31"/>
      <c r="BQ36" s="31"/>
      <c r="BR36" s="31"/>
      <c r="BS36" s="31"/>
      <c r="BT36" s="31"/>
      <c r="BU36" s="31"/>
      <c r="BV36" s="31"/>
      <c r="BW36" s="127"/>
      <c r="BX36" s="36" t="str">
        <f>Z77</f>
        <v>L62</v>
      </c>
      <c r="BY36" s="94"/>
      <c r="BZ36" s="96"/>
      <c r="CA36" s="38"/>
    </row>
    <row r="37" spans="1:79" ht="15" customHeight="1" x14ac:dyDescent="0.25">
      <c r="A37" s="25">
        <v>31</v>
      </c>
      <c r="B37" s="26" t="str">
        <f t="shared" si="0"/>
        <v>Sun</v>
      </c>
      <c r="C37" s="27" t="str">
        <f t="shared" si="1"/>
        <v>Jun 24, 2018</v>
      </c>
      <c r="D37" s="28">
        <f t="shared" si="8"/>
        <v>0.75</v>
      </c>
      <c r="E37" s="101" t="str">
        <f>AB50</f>
        <v>Poland</v>
      </c>
      <c r="F37" s="29">
        <v>0</v>
      </c>
      <c r="G37" s="30">
        <v>3</v>
      </c>
      <c r="H37" s="98" t="str">
        <f>AB52</f>
        <v>Colombia</v>
      </c>
      <c r="R37" s="147">
        <f>DATE(2018,6,24)+TIME(7,0,0)+gmt_delta</f>
        <v>43275.75</v>
      </c>
      <c r="S37" s="152" t="str">
        <f t="shared" si="2"/>
        <v>Poland_lose</v>
      </c>
      <c r="T37" s="152" t="str">
        <f t="shared" si="3"/>
        <v>Colombia_win</v>
      </c>
      <c r="U37" s="148">
        <f t="shared" si="4"/>
        <v>0</v>
      </c>
      <c r="V37" s="147">
        <f t="shared" si="5"/>
        <v>0</v>
      </c>
      <c r="W37" s="147">
        <f t="shared" si="6"/>
        <v>0</v>
      </c>
      <c r="X37" s="147">
        <f t="shared" si="7"/>
        <v>0</v>
      </c>
      <c r="Y37" s="147">
        <f t="shared" si="9"/>
        <v>-1</v>
      </c>
      <c r="AH37" s="147">
        <f>MIN(AH32:AH35)</f>
        <v>-300</v>
      </c>
      <c r="AI37" s="147">
        <f>MIN(AI32:AI35)</f>
        <v>-3</v>
      </c>
      <c r="AO37" s="147"/>
      <c r="AP37" s="147"/>
      <c r="BB37" s="31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31"/>
      <c r="BD37" s="31"/>
      <c r="BE37" s="31"/>
      <c r="BF37" s="40"/>
      <c r="BG37" s="41"/>
      <c r="BH37" s="44"/>
      <c r="BI37" s="127"/>
      <c r="BJ37" s="36" t="str">
        <f>T65</f>
        <v>W56</v>
      </c>
      <c r="BK37" s="94"/>
      <c r="BL37" s="96"/>
      <c r="BM37" s="38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 spans="1:79" ht="15" customHeight="1" x14ac:dyDescent="0.25">
      <c r="A38" s="25">
        <v>32</v>
      </c>
      <c r="B38" s="26" t="str">
        <f t="shared" si="0"/>
        <v>Sun</v>
      </c>
      <c r="C38" s="27" t="str">
        <f t="shared" si="1"/>
        <v>Jun 24, 2018</v>
      </c>
      <c r="D38" s="28">
        <f t="shared" si="8"/>
        <v>0.625</v>
      </c>
      <c r="E38" s="101" t="str">
        <f>AB53</f>
        <v>Japan</v>
      </c>
      <c r="F38" s="29">
        <v>2</v>
      </c>
      <c r="G38" s="30">
        <v>2</v>
      </c>
      <c r="H38" s="98" t="str">
        <f>AB51</f>
        <v>Senegal</v>
      </c>
      <c r="J38" s="71" t="str">
        <f>INDEX(T,9,lang) &amp; " " &amp; "F"</f>
        <v>Group F</v>
      </c>
      <c r="K38" s="72" t="str">
        <f>INDEX(T,10,lang)</f>
        <v>PL</v>
      </c>
      <c r="L38" s="72" t="str">
        <f>INDEX(T,11,lang)</f>
        <v>W</v>
      </c>
      <c r="M38" s="72" t="str">
        <f>INDEX(T,12,lang)</f>
        <v>DRAW</v>
      </c>
      <c r="N38" s="72" t="str">
        <f>INDEX(T,13,lang)</f>
        <v>L</v>
      </c>
      <c r="O38" s="72" t="str">
        <f>INDEX(T,14,lang)</f>
        <v>GF - GA</v>
      </c>
      <c r="P38" s="73" t="str">
        <f>INDEX(T,15,lang)</f>
        <v>PNT</v>
      </c>
      <c r="R38" s="147">
        <f>DATE(2018,6,24)+TIME(4,0,0)+gmt_delta</f>
        <v>43275.625</v>
      </c>
      <c r="S38" s="152" t="str">
        <f t="shared" si="2"/>
        <v>Japan_draw</v>
      </c>
      <c r="T38" s="152" t="str">
        <f t="shared" si="3"/>
        <v>Senegal_draw</v>
      </c>
      <c r="U38" s="148">
        <f t="shared" si="4"/>
        <v>1</v>
      </c>
      <c r="V38" s="147">
        <f t="shared" si="5"/>
        <v>2</v>
      </c>
      <c r="W38" s="147">
        <f t="shared" si="6"/>
        <v>2</v>
      </c>
      <c r="X38" s="147">
        <f t="shared" si="7"/>
        <v>0</v>
      </c>
      <c r="Y38" s="147">
        <f t="shared" si="9"/>
        <v>0</v>
      </c>
      <c r="AA38" s="147">
        <f>COUNTIF(AQ38:AQ41,CONCATENATE("&gt;=",AQ38))</f>
        <v>2</v>
      </c>
      <c r="AB38" s="148" t="str">
        <f>VLOOKUP("Germany",T,lang,FALSE)</f>
        <v>Germany</v>
      </c>
      <c r="AC38" s="147">
        <f>COUNTIF($S$7:$T$54,"=" &amp; AB38 &amp; "_win")</f>
        <v>1</v>
      </c>
      <c r="AD38" s="147">
        <f>COUNTIF($S$7:$T$54,"=" &amp; AB38 &amp; "_draw")</f>
        <v>0</v>
      </c>
      <c r="AE38" s="147">
        <f>COUNTIF($S$7:$T$54,"=" &amp; AB38 &amp; "_lose")</f>
        <v>1</v>
      </c>
      <c r="AF38" s="147">
        <f>SUMIF($E$7:$E$54,$AB38,$F$7:$F$54) + SUMIF($H$7:$H$54,$AB38,$G$7:$G$54)</f>
        <v>2</v>
      </c>
      <c r="AG38" s="147">
        <f>SUMIF($E$7:$E$54,$AB38,$G$7:$G$54) + SUMIF($H$7:$H$54,$AB38,$F$7:$F$54)</f>
        <v>2</v>
      </c>
      <c r="AH38" s="147">
        <f>(AF38-AG38)*100+AK38*10000+AF38</f>
        <v>30002</v>
      </c>
      <c r="AI38" s="147">
        <f>AF38-AG38</f>
        <v>0</v>
      </c>
      <c r="AJ38" s="147">
        <f>(AI38-AI43)/AI42</f>
        <v>0.4</v>
      </c>
      <c r="AK38" s="147">
        <f>AC38*3+AD38</f>
        <v>3</v>
      </c>
      <c r="AL38" s="147">
        <f>AS38/AS42*1000+AT38/AT42*100+AW38/AW42*10+AU38/AU42</f>
        <v>504</v>
      </c>
      <c r="AM38" s="147">
        <f>VLOOKUP(AB38,fair_play,2,FALSE)</f>
        <v>-5</v>
      </c>
      <c r="AN38" s="147">
        <f>COUNTIF($AM$38:$AM$41,CONCATENATE("&lt;=",AM38))</f>
        <v>2</v>
      </c>
      <c r="AO38" s="147">
        <f>VLOOKUP(AB38,fair_play,3,FALSE)</f>
        <v>11</v>
      </c>
      <c r="AP38" s="147">
        <f>COUNTIF($AO$38:$AO$41,CONCATENATE("&gt;=",AO38))</f>
        <v>4</v>
      </c>
      <c r="AQ38" s="148">
        <f>1000*AK38/AK42+100*AJ38+10*AF38/AF42+1*AL38/AL42+0.00001*AN38+0.000001*AP38</f>
        <v>476.23024522234721</v>
      </c>
      <c r="AR38" s="149" t="str">
        <f>IF(SUM(AC38:AE41)=12,J39,INDEX(T,80,lang))</f>
        <v>1F</v>
      </c>
      <c r="AS38" s="150">
        <f>SUMPRODUCT(($S$7:$S$54=AB38&amp;"_win")*($U$7:$U$54))+SUMPRODUCT(($T$7:$T$54=AB38&amp;"_win")*($U$7:$U$54))</f>
        <v>1</v>
      </c>
      <c r="AT38" s="151">
        <f>SUMPRODUCT(($S$7:$S$54=AB38&amp;"_draw")*($U$7:$U$54))+SUMPRODUCT(($T$7:$T$54=AB38&amp;"_draw")*($U$7:$U$54))</f>
        <v>0</v>
      </c>
      <c r="AU38" s="151">
        <f>SUMPRODUCT(($E$7:$E$54=AB38)*($U$7:$U$54)*($F$7:$F$54))+SUMPRODUCT(($H$7:$H$54=AB38)*($U$7:$U$54)*($G$7:$G$54))</f>
        <v>2</v>
      </c>
      <c r="AV38" s="151">
        <f>SUMPRODUCT(($E$7:$E$54=AB38)*($U$7:$U$54)*($G$7:$G$54))+SUMPRODUCT(($H$7:$H$54=AB38)*($U$7:$U$54)*($F$7:$F$54))</f>
        <v>1</v>
      </c>
      <c r="AW38" s="151">
        <f>AU38-AV38</f>
        <v>1</v>
      </c>
      <c r="BB38" s="126">
        <v>56</v>
      </c>
      <c r="BC38" s="34" t="str">
        <f>AR50</f>
        <v>1H</v>
      </c>
      <c r="BD38" s="93"/>
      <c r="BE38" s="95"/>
      <c r="BF38" s="35"/>
      <c r="BG38" s="45"/>
      <c r="BH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 spans="1:79" ht="15" customHeight="1" x14ac:dyDescent="0.25">
      <c r="A39" s="25">
        <v>33</v>
      </c>
      <c r="B39" s="26" t="str">
        <f t="shared" si="0"/>
        <v>Mon</v>
      </c>
      <c r="C39" s="27" t="str">
        <f t="shared" si="1"/>
        <v>Jun 25, 2018</v>
      </c>
      <c r="D39" s="28">
        <f t="shared" si="8"/>
        <v>0.58333333333333337</v>
      </c>
      <c r="E39" s="101" t="str">
        <f>AB11</f>
        <v>Uruguay</v>
      </c>
      <c r="F39" s="29">
        <v>3</v>
      </c>
      <c r="G39" s="30">
        <v>0</v>
      </c>
      <c r="H39" s="98" t="str">
        <f>AB8</f>
        <v>Russia</v>
      </c>
      <c r="J39" s="63" t="str">
        <f>VLOOKUP(1,AA38:AK41,2,FALSE)</f>
        <v>Mexico</v>
      </c>
      <c r="K39" s="64">
        <f>L39+M39+N39</f>
        <v>2</v>
      </c>
      <c r="L39" s="64">
        <f>VLOOKUP(1,AA38:AK41,3,FALSE)</f>
        <v>2</v>
      </c>
      <c r="M39" s="64">
        <f>VLOOKUP(1,AA38:AK41,4,FALSE)</f>
        <v>0</v>
      </c>
      <c r="N39" s="64">
        <f>VLOOKUP(1,AA38:AK41,5,FALSE)</f>
        <v>0</v>
      </c>
      <c r="O39" s="64" t="str">
        <f>VLOOKUP(1,AA38:AK41,6,FALSE) &amp; " - " &amp; VLOOKUP(1,AA38:AK41,7,FALSE)</f>
        <v>3 - 1</v>
      </c>
      <c r="P39" s="65">
        <f>L39*3+M39</f>
        <v>6</v>
      </c>
      <c r="R39" s="147">
        <f>DATE(2018,6,25)+TIME(3,0,0)+gmt_delta</f>
        <v>43276.583333333336</v>
      </c>
      <c r="S39" s="152" t="str">
        <f t="shared" si="2"/>
        <v>Uruguay_win</v>
      </c>
      <c r="T39" s="152" t="str">
        <f t="shared" si="3"/>
        <v>Russia_lose</v>
      </c>
      <c r="U39" s="148">
        <f t="shared" si="4"/>
        <v>0</v>
      </c>
      <c r="V39" s="147">
        <f t="shared" si="5"/>
        <v>0</v>
      </c>
      <c r="W39" s="147">
        <f t="shared" si="6"/>
        <v>0</v>
      </c>
      <c r="X39" s="147">
        <f t="shared" si="7"/>
        <v>0</v>
      </c>
      <c r="Y39" s="147">
        <f t="shared" si="9"/>
        <v>1</v>
      </c>
      <c r="AA39" s="147">
        <f>COUNTIF(AQ38:AQ41,CONCATENATE("&gt;=",AQ39))</f>
        <v>1</v>
      </c>
      <c r="AB39" s="148" t="str">
        <f>VLOOKUP("Mexico",T,lang,FALSE)</f>
        <v>Mexico</v>
      </c>
      <c r="AC39" s="147">
        <f>COUNTIF($S$7:$T$54,"=" &amp; AB39 &amp; "_win")</f>
        <v>2</v>
      </c>
      <c r="AD39" s="147">
        <f>COUNTIF($S$7:$T$54,"=" &amp; AB39 &amp; "_draw")</f>
        <v>0</v>
      </c>
      <c r="AE39" s="147">
        <f>COUNTIF($S$7:$T$54,"=" &amp; AB39 &amp; "_lose")</f>
        <v>0</v>
      </c>
      <c r="AF39" s="147">
        <f>SUMIF($E$7:$E$54,$AB39,$F$7:$F$54) + SUMIF($H$7:$H$54,$AB39,$G$7:$G$54)</f>
        <v>3</v>
      </c>
      <c r="AG39" s="147">
        <f>SUMIF($E$7:$E$54,$AB39,$G$7:$G$54) + SUMIF($H$7:$H$54,$AB39,$F$7:$F$54)</f>
        <v>1</v>
      </c>
      <c r="AH39" s="147">
        <f>(AF39-AG39)*100+AK39*10000+AF39</f>
        <v>60203</v>
      </c>
      <c r="AI39" s="147">
        <f>AF39-AG39</f>
        <v>2</v>
      </c>
      <c r="AJ39" s="147">
        <f>(AI39-AI43)/AI42</f>
        <v>0.8</v>
      </c>
      <c r="AK39" s="147">
        <f>AC39*3+AD39</f>
        <v>6</v>
      </c>
      <c r="AL39" s="147">
        <f>AS39/AS42*1000+AT39/AT42*100+AW39/AW42*10+AU39/AU42</f>
        <v>0</v>
      </c>
      <c r="AM39" s="147">
        <f>VLOOKUP(AB39,fair_play,2,FALSE)</f>
        <v>-8</v>
      </c>
      <c r="AN39" s="147">
        <f t="shared" ref="AN39:AN41" si="25">COUNTIF($AM$38:$AM$41,CONCATENATE("&lt;=",AM39))</f>
        <v>1</v>
      </c>
      <c r="AO39" s="147">
        <f>VLOOKUP(AB39,fair_play,3,FALSE)</f>
        <v>16</v>
      </c>
      <c r="AP39" s="147">
        <f t="shared" ref="AP39:AP41" si="26">COUNTIF($AO$38:$AO$41,CONCATENATE("&gt;=",AO39))</f>
        <v>2</v>
      </c>
      <c r="AQ39" s="148">
        <f>1000*AK39/AK42+100*AJ39+10*AF39/AF42+1*AL39/AL42+0.00001*AN39+0.000001*AP39</f>
        <v>947.14286914285708</v>
      </c>
      <c r="AR39" s="149" t="str">
        <f>IF(SUM(AC38:AE41)=12,J40,INDEX(T,81,lang))</f>
        <v>2F</v>
      </c>
      <c r="AS39" s="150">
        <f>SUMPRODUCT(($S$7:$S$54=AB39&amp;"_win")*($U$7:$U$54))+SUMPRODUCT(($T$7:$T$54=AB39&amp;"_win")*($U$7:$U$54))</f>
        <v>0</v>
      </c>
      <c r="AT39" s="151">
        <f>SUMPRODUCT(($S$7:$S$54=AB39&amp;"_draw")*($U$7:$U$54))+SUMPRODUCT(($T$7:$T$54=AB39&amp;"_draw")*($U$7:$U$54))</f>
        <v>0</v>
      </c>
      <c r="AU39" s="151">
        <f>SUMPRODUCT(($E$7:$E$54=AB39)*($U$7:$U$54)*($F$7:$F$54))+SUMPRODUCT(($H$7:$H$54=AB39)*($U$7:$U$54)*($G$7:$G$54))</f>
        <v>0</v>
      </c>
      <c r="AV39" s="151">
        <f>SUMPRODUCT(($E$7:$E$54=AB39)*($U$7:$U$54)*($G$7:$G$54))+SUMPRODUCT(($H$7:$H$54=AB39)*($U$7:$U$54)*($F$7:$F$54))</f>
        <v>0</v>
      </c>
      <c r="AW39" s="151">
        <f>AU39-AV39</f>
        <v>0</v>
      </c>
      <c r="BB39" s="127"/>
      <c r="BC39" s="36" t="str">
        <f>AR45</f>
        <v>2G</v>
      </c>
      <c r="BD39" s="94"/>
      <c r="BE39" s="96"/>
      <c r="BF39" s="38"/>
      <c r="BG39" s="31"/>
      <c r="BH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 spans="1:79" ht="15" customHeight="1" thickBot="1" x14ac:dyDescent="0.3">
      <c r="A40" s="25">
        <v>34</v>
      </c>
      <c r="B40" s="26" t="str">
        <f t="shared" si="0"/>
        <v>Mon</v>
      </c>
      <c r="C40" s="27" t="str">
        <f t="shared" si="1"/>
        <v>Jun 25, 2018</v>
      </c>
      <c r="D40" s="28">
        <f t="shared" si="8"/>
        <v>0.58333333333333337</v>
      </c>
      <c r="E40" s="101" t="str">
        <f>AB9</f>
        <v>Saudi Arabia</v>
      </c>
      <c r="F40" s="29">
        <v>2</v>
      </c>
      <c r="G40" s="30">
        <v>1</v>
      </c>
      <c r="H40" s="98" t="str">
        <f>AB10</f>
        <v>Egypt</v>
      </c>
      <c r="J40" s="66" t="str">
        <f>VLOOKUP(2,AA38:AK41,2,FALSE)</f>
        <v>Germany</v>
      </c>
      <c r="K40" s="33">
        <f>L40+M40+N40</f>
        <v>2</v>
      </c>
      <c r="L40" s="33">
        <f>VLOOKUP(2,AA38:AK41,3,FALSE)</f>
        <v>1</v>
      </c>
      <c r="M40" s="33">
        <f>VLOOKUP(2,AA38:AK41,4,FALSE)</f>
        <v>0</v>
      </c>
      <c r="N40" s="33">
        <f>VLOOKUP(2,AA38:AK41,5,FALSE)</f>
        <v>1</v>
      </c>
      <c r="O40" s="33" t="str">
        <f>VLOOKUP(2,AA38:AK41,6,FALSE) &amp; " - " &amp; VLOOKUP(2,AA38:AK41,7,FALSE)</f>
        <v>2 - 2</v>
      </c>
      <c r="P40" s="67">
        <f>L40*3+M40</f>
        <v>3</v>
      </c>
      <c r="R40" s="147">
        <f>DATE(2018,6,25)+TIME(3,0,0)+gmt_delta</f>
        <v>43276.583333333336</v>
      </c>
      <c r="S40" s="152" t="str">
        <f t="shared" si="2"/>
        <v>Saudi Arabia_win</v>
      </c>
      <c r="T40" s="152" t="str">
        <f t="shared" si="3"/>
        <v>Egypt_lose</v>
      </c>
      <c r="U40" s="148">
        <f t="shared" si="4"/>
        <v>0</v>
      </c>
      <c r="V40" s="147">
        <f t="shared" si="5"/>
        <v>0</v>
      </c>
      <c r="W40" s="147">
        <f t="shared" si="6"/>
        <v>0</v>
      </c>
      <c r="X40" s="147">
        <f t="shared" si="7"/>
        <v>0</v>
      </c>
      <c r="Y40" s="147">
        <f t="shared" si="9"/>
        <v>1</v>
      </c>
      <c r="AA40" s="147">
        <f>COUNTIF(AQ38:AQ41,CONCATENATE("&gt;=",AQ40))</f>
        <v>3</v>
      </c>
      <c r="AB40" s="148" t="str">
        <f>VLOOKUP("Sweden",T,lang,FALSE)</f>
        <v>Sweden</v>
      </c>
      <c r="AC40" s="147">
        <f>COUNTIF($S$7:$T$54,"=" &amp; AB40 &amp; "_win")</f>
        <v>1</v>
      </c>
      <c r="AD40" s="147">
        <f>COUNTIF($S$7:$T$54,"=" &amp; AB40 &amp; "_draw")</f>
        <v>0</v>
      </c>
      <c r="AE40" s="147">
        <f>COUNTIF($S$7:$T$54,"=" &amp; AB40 &amp; "_lose")</f>
        <v>1</v>
      </c>
      <c r="AF40" s="147">
        <f>SUMIF($E$7:$E$54,$AB40,$F$7:$F$54) + SUMIF($H$7:$H$54,$AB40,$G$7:$G$54)</f>
        <v>2</v>
      </c>
      <c r="AG40" s="147">
        <f>SUMIF($E$7:$E$54,$AB40,$G$7:$G$54) + SUMIF($H$7:$H$54,$AB40,$F$7:$F$54)</f>
        <v>2</v>
      </c>
      <c r="AH40" s="147">
        <f>(AF40-AG40)*100+AK40*10000+AF40</f>
        <v>30002</v>
      </c>
      <c r="AI40" s="147">
        <f>AF40-AG40</f>
        <v>0</v>
      </c>
      <c r="AJ40" s="147">
        <f>(AI40-AI43)/AI42</f>
        <v>0.4</v>
      </c>
      <c r="AK40" s="147">
        <f>AC40*3+AD40</f>
        <v>3</v>
      </c>
      <c r="AL40" s="147">
        <f>AS40/AS42*1000+AT40/AT42*100+AW40/AW42*10+AU40/AU42</f>
        <v>-2.9999999999999996</v>
      </c>
      <c r="AM40" s="147">
        <f>VLOOKUP(AB40,fair_play,2,FALSE)</f>
        <v>-3</v>
      </c>
      <c r="AN40" s="147">
        <f t="shared" si="25"/>
        <v>3</v>
      </c>
      <c r="AO40" s="147">
        <f>VLOOKUP(AB40,fair_play,3,FALSE)</f>
        <v>28</v>
      </c>
      <c r="AP40" s="147">
        <f t="shared" si="26"/>
        <v>1</v>
      </c>
      <c r="AQ40" s="148">
        <f>1000*AK40/AK42+100*AJ40+10*AF40/AF42+1*AL40/AL42+0.00001*AN40+0.000001*AP40</f>
        <v>475.2322207262842</v>
      </c>
      <c r="AS40" s="150">
        <f>SUMPRODUCT(($S$7:$S$54=AB40&amp;"_win")*($U$7:$U$54))+SUMPRODUCT(($T$7:$T$54=AB40&amp;"_win")*($U$7:$U$54))</f>
        <v>0</v>
      </c>
      <c r="AT40" s="151">
        <f>SUMPRODUCT(($S$7:$S$54=AB40&amp;"_draw")*($U$7:$U$54))+SUMPRODUCT(($T$7:$T$54=AB40&amp;"_draw")*($U$7:$U$54))</f>
        <v>0</v>
      </c>
      <c r="AU40" s="151">
        <f>SUMPRODUCT(($E$7:$E$54=AB40)*($U$7:$U$54)*($F$7:$F$54))+SUMPRODUCT(($H$7:$H$54=AB40)*($U$7:$U$54)*($G$7:$G$54))</f>
        <v>1</v>
      </c>
      <c r="AV40" s="151">
        <f>SUMPRODUCT(($E$7:$E$54=AB40)*($U$7:$U$54)*($G$7:$G$54))+SUMPRODUCT(($H$7:$H$54=AB40)*($U$7:$U$54)*($F$7:$F$54))</f>
        <v>2</v>
      </c>
      <c r="AW40" s="151">
        <f>AU40-AV40</f>
        <v>-1</v>
      </c>
    </row>
    <row r="41" spans="1:79" ht="15" customHeight="1" x14ac:dyDescent="0.25">
      <c r="A41" s="25">
        <v>35</v>
      </c>
      <c r="B41" s="26" t="str">
        <f t="shared" si="0"/>
        <v>Mon</v>
      </c>
      <c r="C41" s="27" t="str">
        <f t="shared" si="1"/>
        <v>Jun 25, 2018</v>
      </c>
      <c r="D41" s="28">
        <f t="shared" si="8"/>
        <v>0.75</v>
      </c>
      <c r="E41" s="101" t="str">
        <f>AB17</f>
        <v>Iran</v>
      </c>
      <c r="F41" s="29">
        <v>1</v>
      </c>
      <c r="G41" s="30">
        <v>1</v>
      </c>
      <c r="H41" s="98" t="str">
        <f>AB14</f>
        <v>Portugal</v>
      </c>
      <c r="J41" s="66" t="str">
        <f>VLOOKUP(3,AA38:AK41,2,FALSE)</f>
        <v>Sweden</v>
      </c>
      <c r="K41" s="33">
        <f>L41+M41+N41</f>
        <v>2</v>
      </c>
      <c r="L41" s="33">
        <f>VLOOKUP(3,AA38:AK41,3,FALSE)</f>
        <v>1</v>
      </c>
      <c r="M41" s="33">
        <f>VLOOKUP(3,AA38:AK41,4,FALSE)</f>
        <v>0</v>
      </c>
      <c r="N41" s="33">
        <f>VLOOKUP(3,AA38:AK41,5,FALSE)</f>
        <v>1</v>
      </c>
      <c r="O41" s="33" t="str">
        <f>VLOOKUP(3,AA38:AK41,6,FALSE) &amp; " - " &amp; VLOOKUP(3,AA38:AK41,7,FALSE)</f>
        <v>2 - 2</v>
      </c>
      <c r="P41" s="67">
        <f>L41*3+M41</f>
        <v>3</v>
      </c>
      <c r="R41" s="147">
        <f>DATE(2018,6,25)+TIME(7,0,0)+gmt_delta</f>
        <v>43276.75</v>
      </c>
      <c r="S41" s="152" t="str">
        <f t="shared" si="2"/>
        <v>Iran_draw</v>
      </c>
      <c r="T41" s="152" t="str">
        <f t="shared" si="3"/>
        <v>Portugal_draw</v>
      </c>
      <c r="U41" s="148">
        <f t="shared" si="4"/>
        <v>0</v>
      </c>
      <c r="V41" s="147">
        <f t="shared" si="5"/>
        <v>0</v>
      </c>
      <c r="W41" s="147">
        <f t="shared" si="6"/>
        <v>0</v>
      </c>
      <c r="X41" s="147">
        <f t="shared" si="7"/>
        <v>0</v>
      </c>
      <c r="Y41" s="147">
        <f t="shared" si="9"/>
        <v>0</v>
      </c>
      <c r="AA41" s="147">
        <f>COUNTIF(AQ38:AQ41,CONCATENATE("&gt;=",AQ41))</f>
        <v>4</v>
      </c>
      <c r="AB41" s="148" t="str">
        <f>VLOOKUP("Korea Republic",T,lang,FALSE)</f>
        <v>Korea Republic</v>
      </c>
      <c r="AC41" s="147">
        <f>COUNTIF($S$7:$T$54,"=" &amp; AB41 &amp; "_win")</f>
        <v>0</v>
      </c>
      <c r="AD41" s="147">
        <f>COUNTIF($S$7:$T$54,"=" &amp; AB41 &amp; "_draw")</f>
        <v>0</v>
      </c>
      <c r="AE41" s="147">
        <f>COUNTIF($S$7:$T$54,"=" &amp; AB41 &amp; "_lose")</f>
        <v>2</v>
      </c>
      <c r="AF41" s="147">
        <f>SUMIF($E$7:$E$54,$AB41,$F$7:$F$54) + SUMIF($H$7:$H$54,$AB41,$G$7:$G$54)</f>
        <v>1</v>
      </c>
      <c r="AG41" s="147">
        <f>SUMIF($E$7:$E$54,$AB41,$G$7:$G$54) + SUMIF($H$7:$H$54,$AB41,$F$7:$F$54)</f>
        <v>3</v>
      </c>
      <c r="AH41" s="147">
        <f>(AF41-AG41)*100+AK41*10000+AF41</f>
        <v>-199</v>
      </c>
      <c r="AI41" s="147">
        <f>AF41-AG41</f>
        <v>-2</v>
      </c>
      <c r="AJ41" s="147">
        <f>(AI41-AI43)/AI42</f>
        <v>0</v>
      </c>
      <c r="AK41" s="147">
        <f>AC41*3+AD41</f>
        <v>0</v>
      </c>
      <c r="AL41" s="147">
        <f>AS41/AS42*1000+AT41/AT42*100+AW41/AW42*10+AU41/AU42</f>
        <v>0</v>
      </c>
      <c r="AM41" s="147">
        <f>VLOOKUP(AB41,fair_play,2,FALSE)</f>
        <v>-2</v>
      </c>
      <c r="AN41" s="147">
        <f t="shared" si="25"/>
        <v>4</v>
      </c>
      <c r="AO41" s="147">
        <f>VLOOKUP(AB41,fair_play,3,FALSE)</f>
        <v>15</v>
      </c>
      <c r="AP41" s="147">
        <f t="shared" si="26"/>
        <v>3</v>
      </c>
      <c r="AQ41" s="148">
        <f>1000*AK41/AK42+100*AJ41+10*AF41/AF42+1*AL41/AL42+0.00001*AN41+0.000001*AP41</f>
        <v>3.3333763333333333</v>
      </c>
      <c r="AS41" s="150">
        <f>SUMPRODUCT(($S$7:$S$54=AB41&amp;"_win")*($U$7:$U$54))+SUMPRODUCT(($T$7:$T$54=AB41&amp;"_win")*($U$7:$U$54))</f>
        <v>0</v>
      </c>
      <c r="AT41" s="151">
        <f>SUMPRODUCT(($S$7:$S$54=AB41&amp;"_draw")*($U$7:$U$54))+SUMPRODUCT(($T$7:$T$54=AB41&amp;"_draw")*($U$7:$U$54))</f>
        <v>0</v>
      </c>
      <c r="AU41" s="151">
        <f>SUMPRODUCT(($E$7:$E$54=AB41)*($U$7:$U$54)*($F$7:$F$54))+SUMPRODUCT(($H$7:$H$54=AB41)*($U$7:$U$54)*($G$7:$G$54))</f>
        <v>0</v>
      </c>
      <c r="AV41" s="151">
        <f>SUMPRODUCT(($E$7:$E$54=AB41)*($U$7:$U$54)*($G$7:$G$54))+SUMPRODUCT(($H$7:$H$54=AB41)*($U$7:$U$54)*($F$7:$F$54))</f>
        <v>0</v>
      </c>
      <c r="AW41" s="151">
        <f>AU41-AV41</f>
        <v>0</v>
      </c>
      <c r="BO41" s="143" t="str">
        <f>INDEX(T,102,lang)</f>
        <v>World Champion 2018</v>
      </c>
      <c r="BP41" s="143"/>
      <c r="BQ41" s="143"/>
      <c r="BR41" s="143"/>
      <c r="BS41" s="143"/>
      <c r="BT41" s="143"/>
      <c r="BU41" s="145" t="str">
        <f>S85</f>
        <v/>
      </c>
      <c r="BV41" s="145"/>
      <c r="BW41" s="145"/>
      <c r="BX41" s="145"/>
      <c r="BY41" s="145"/>
      <c r="BZ41" s="145"/>
      <c r="CA41" s="145"/>
    </row>
    <row r="42" spans="1:79" ht="15" customHeight="1" x14ac:dyDescent="0.25">
      <c r="A42" s="25">
        <v>36</v>
      </c>
      <c r="B42" s="26" t="str">
        <f t="shared" si="0"/>
        <v>Mon</v>
      </c>
      <c r="C42" s="27" t="str">
        <f t="shared" si="1"/>
        <v>Jun 25, 2018</v>
      </c>
      <c r="D42" s="28">
        <f t="shared" si="8"/>
        <v>0.75</v>
      </c>
      <c r="E42" s="101" t="str">
        <f>AB15</f>
        <v>Spain</v>
      </c>
      <c r="F42" s="29">
        <v>2</v>
      </c>
      <c r="G42" s="30">
        <v>2</v>
      </c>
      <c r="H42" s="98" t="str">
        <f>AB16</f>
        <v>Morocco</v>
      </c>
      <c r="J42" s="68" t="str">
        <f>VLOOKUP(4,AA38:AK41,2,FALSE)</f>
        <v>Korea Republic</v>
      </c>
      <c r="K42" s="69">
        <f>L42+M42+N42</f>
        <v>2</v>
      </c>
      <c r="L42" s="69">
        <f>VLOOKUP(4,AA38:AK41,3,FALSE)</f>
        <v>0</v>
      </c>
      <c r="M42" s="69">
        <f>VLOOKUP(4,AA38:AK41,4,FALSE)</f>
        <v>0</v>
      </c>
      <c r="N42" s="69">
        <f>VLOOKUP(4,AA38:AK41,5,FALSE)</f>
        <v>2</v>
      </c>
      <c r="O42" s="69" t="str">
        <f>VLOOKUP(4,AA38:AK41,6,FALSE) &amp; " - " &amp; VLOOKUP(4,AA38:AK41,7,FALSE)</f>
        <v>1 - 3</v>
      </c>
      <c r="P42" s="70">
        <f>L42*3+M42</f>
        <v>0</v>
      </c>
      <c r="R42" s="147">
        <f>DATE(2018,6,25)+TIME(7,0,0)+gmt_delta</f>
        <v>43276.75</v>
      </c>
      <c r="S42" s="152" t="str">
        <f t="shared" si="2"/>
        <v>Spain_draw</v>
      </c>
      <c r="T42" s="152" t="str">
        <f t="shared" si="3"/>
        <v>Morocco_draw</v>
      </c>
      <c r="U42" s="148">
        <f t="shared" si="4"/>
        <v>0</v>
      </c>
      <c r="V42" s="147">
        <f t="shared" si="5"/>
        <v>0</v>
      </c>
      <c r="W42" s="147">
        <f t="shared" si="6"/>
        <v>0</v>
      </c>
      <c r="X42" s="147">
        <f t="shared" si="7"/>
        <v>0</v>
      </c>
      <c r="Y42" s="147">
        <f t="shared" si="9"/>
        <v>0</v>
      </c>
      <c r="AC42" s="147">
        <f t="shared" ref="AC42:AL42" si="27">MAX(AC38:AC41)-MIN(AC38:AC41)+1</f>
        <v>3</v>
      </c>
      <c r="AD42" s="147">
        <f t="shared" si="27"/>
        <v>1</v>
      </c>
      <c r="AE42" s="147">
        <f t="shared" si="27"/>
        <v>3</v>
      </c>
      <c r="AF42" s="147">
        <f t="shared" si="27"/>
        <v>3</v>
      </c>
      <c r="AG42" s="147">
        <f t="shared" si="27"/>
        <v>3</v>
      </c>
      <c r="AH42" s="147">
        <f>MAX(AH38:AH41)-AH43+1</f>
        <v>60403</v>
      </c>
      <c r="AI42" s="147">
        <f>MAX(AI38:AI41)-AI43+1</f>
        <v>5</v>
      </c>
      <c r="AK42" s="147">
        <f t="shared" si="27"/>
        <v>7</v>
      </c>
      <c r="AL42" s="147">
        <f t="shared" si="27"/>
        <v>508</v>
      </c>
      <c r="AM42" s="147"/>
      <c r="AN42" s="147"/>
      <c r="AO42" s="147"/>
      <c r="AP42" s="147"/>
      <c r="AS42" s="147">
        <f>MAX(AS38:AS41)-MIN(AS38:AS41)+1</f>
        <v>2</v>
      </c>
      <c r="AT42" s="147">
        <f>MAX(AT38:AT41)-MIN(AT38:AT41)+1</f>
        <v>1</v>
      </c>
      <c r="AU42" s="147">
        <f>MAX(AU38:AU41)-MIN(AU38:AU41)+1</f>
        <v>3</v>
      </c>
      <c r="AV42" s="147">
        <f>MAX(AV38:AV41)-MIN(AV38:AV41)+1</f>
        <v>3</v>
      </c>
      <c r="AW42" s="147">
        <f>MAX(AW38:AW41)-MIN(AW38:AW41)+1</f>
        <v>3</v>
      </c>
      <c r="BO42" s="144"/>
      <c r="BP42" s="144"/>
      <c r="BQ42" s="144"/>
      <c r="BR42" s="144"/>
      <c r="BS42" s="144"/>
      <c r="BT42" s="144"/>
      <c r="BU42" s="146"/>
      <c r="BV42" s="146"/>
      <c r="BW42" s="146"/>
      <c r="BX42" s="146"/>
      <c r="BY42" s="146"/>
      <c r="BZ42" s="146"/>
      <c r="CA42" s="146"/>
    </row>
    <row r="43" spans="1:79" ht="15" customHeight="1" x14ac:dyDescent="0.25">
      <c r="A43" s="25">
        <v>37</v>
      </c>
      <c r="B43" s="26" t="str">
        <f t="shared" si="0"/>
        <v>Tue</v>
      </c>
      <c r="C43" s="27" t="str">
        <f t="shared" si="1"/>
        <v>Jun 26, 2018</v>
      </c>
      <c r="D43" s="28">
        <f t="shared" si="8"/>
        <v>0.58333333333333337</v>
      </c>
      <c r="E43" s="101" t="str">
        <f>AB23</f>
        <v>Denmark</v>
      </c>
      <c r="F43" s="29">
        <v>0</v>
      </c>
      <c r="G43" s="30">
        <v>0</v>
      </c>
      <c r="H43" s="98" t="str">
        <f>AB20</f>
        <v>France</v>
      </c>
      <c r="R43" s="147">
        <f>DATE(2018,6,26)+TIME(3,0,0)+gmt_delta</f>
        <v>43277.583333333336</v>
      </c>
      <c r="S43" s="152" t="str">
        <f t="shared" si="2"/>
        <v>Denmark_draw</v>
      </c>
      <c r="T43" s="152" t="str">
        <f t="shared" si="3"/>
        <v>France_draw</v>
      </c>
      <c r="U43" s="148">
        <f t="shared" si="4"/>
        <v>0</v>
      </c>
      <c r="V43" s="147">
        <f t="shared" si="5"/>
        <v>0</v>
      </c>
      <c r="W43" s="147">
        <f t="shared" si="6"/>
        <v>0</v>
      </c>
      <c r="X43" s="147">
        <f t="shared" si="7"/>
        <v>0</v>
      </c>
      <c r="Y43" s="147">
        <f t="shared" si="9"/>
        <v>0</v>
      </c>
      <c r="AH43" s="147">
        <f>MIN(AH38:AH41)</f>
        <v>-199</v>
      </c>
      <c r="AI43" s="147">
        <f>MIN(AI38:AI41)</f>
        <v>-2</v>
      </c>
      <c r="AO43" s="147"/>
      <c r="AP43" s="147"/>
      <c r="BB43" s="74"/>
    </row>
    <row r="44" spans="1:79" ht="15" customHeight="1" x14ac:dyDescent="0.25">
      <c r="A44" s="25">
        <v>38</v>
      </c>
      <c r="B44" s="26" t="str">
        <f t="shared" si="0"/>
        <v>Tue</v>
      </c>
      <c r="C44" s="27" t="str">
        <f t="shared" si="1"/>
        <v>Jun 26, 2018</v>
      </c>
      <c r="D44" s="28">
        <f t="shared" si="8"/>
        <v>0.58333333333333337</v>
      </c>
      <c r="E44" s="101" t="str">
        <f>AB21</f>
        <v>Australia</v>
      </c>
      <c r="F44" s="29">
        <v>0</v>
      </c>
      <c r="G44" s="30">
        <v>2</v>
      </c>
      <c r="H44" s="98" t="str">
        <f>AB22</f>
        <v>Peru</v>
      </c>
      <c r="J44" s="71" t="str">
        <f>INDEX(T,9,lang) &amp; " " &amp; "G"</f>
        <v>Group G</v>
      </c>
      <c r="K44" s="72" t="str">
        <f>INDEX(T,10,lang)</f>
        <v>PL</v>
      </c>
      <c r="L44" s="72" t="str">
        <f>INDEX(T,11,lang)</f>
        <v>W</v>
      </c>
      <c r="M44" s="72" t="str">
        <f>INDEX(T,12,lang)</f>
        <v>DRAW</v>
      </c>
      <c r="N44" s="72" t="str">
        <f>INDEX(T,13,lang)</f>
        <v>L</v>
      </c>
      <c r="O44" s="72" t="str">
        <f>INDEX(T,14,lang)</f>
        <v>GF - GA</v>
      </c>
      <c r="P44" s="73" t="str">
        <f>INDEX(T,15,lang)</f>
        <v>PNT</v>
      </c>
      <c r="R44" s="147">
        <f>DATE(2018,6,26)+TIME(3,0,0)+gmt_delta</f>
        <v>43277.583333333336</v>
      </c>
      <c r="S44" s="152" t="str">
        <f t="shared" si="2"/>
        <v>Australia_lose</v>
      </c>
      <c r="T44" s="152" t="str">
        <f t="shared" si="3"/>
        <v>Peru_win</v>
      </c>
      <c r="U44" s="148">
        <f t="shared" si="4"/>
        <v>0</v>
      </c>
      <c r="V44" s="147">
        <f t="shared" si="5"/>
        <v>0</v>
      </c>
      <c r="W44" s="147">
        <f t="shared" si="6"/>
        <v>0</v>
      </c>
      <c r="X44" s="147">
        <f t="shared" si="7"/>
        <v>0</v>
      </c>
      <c r="Y44" s="147">
        <f t="shared" si="9"/>
        <v>-1</v>
      </c>
      <c r="AA44" s="147">
        <f>COUNTIF(AQ44:AQ47,CONCATENATE("&gt;=",AQ44))</f>
        <v>2</v>
      </c>
      <c r="AB44" s="148" t="str">
        <f>VLOOKUP("Belgium",T,lang,FALSE)</f>
        <v>Belgium</v>
      </c>
      <c r="AC44" s="147">
        <f>COUNTIF($S$7:$T$54,"=" &amp; AB44 &amp; "_win")</f>
        <v>2</v>
      </c>
      <c r="AD44" s="147">
        <f>COUNTIF($S$7:$T$54,"=" &amp; AB44 &amp; "_draw")</f>
        <v>0</v>
      </c>
      <c r="AE44" s="147">
        <f>COUNTIF($S$7:$T$54,"=" &amp; AB44 &amp; "_lose")</f>
        <v>0</v>
      </c>
      <c r="AF44" s="147">
        <f>SUMIF($E$7:$E$54,$AB44,$F$7:$F$54) + SUMIF($H$7:$H$54,$AB44,$G$7:$G$54)</f>
        <v>8</v>
      </c>
      <c r="AG44" s="147">
        <f>SUMIF($E$7:$E$54,$AB44,$G$7:$G$54) + SUMIF($H$7:$H$54,$AB44,$F$7:$F$54)</f>
        <v>2</v>
      </c>
      <c r="AH44" s="147">
        <f>(AF44-AG44)*100+AK44*10000+AF44</f>
        <v>60608</v>
      </c>
      <c r="AI44" s="147">
        <f>AF44-AG44</f>
        <v>6</v>
      </c>
      <c r="AJ44" s="147">
        <f>(AI44-AI49)/AI48</f>
        <v>0.93333333333333335</v>
      </c>
      <c r="AK44" s="147">
        <f>AC44*3+AD44</f>
        <v>6</v>
      </c>
      <c r="AL44" s="147">
        <f>AS44/AS48*1000+AT44/AT48*100+AW44/AW48*10+AU44/AU48</f>
        <v>0</v>
      </c>
      <c r="AM44" s="147">
        <f>VLOOKUP(AB44,fair_play,2,FALSE)</f>
        <v>-3</v>
      </c>
      <c r="AN44" s="147">
        <f>COUNTIF($AM$44:$AM$47,CONCATENATE("&lt;=",AM44))</f>
        <v>2</v>
      </c>
      <c r="AO44" s="147">
        <f>VLOOKUP(AB44,fair_play,3,FALSE)</f>
        <v>2</v>
      </c>
      <c r="AP44" s="147">
        <f>COUNTIF($AO$44:$AO$47,CONCATENATE("&gt;=",AO44))</f>
        <v>4</v>
      </c>
      <c r="AQ44" s="148">
        <f>1000*AK44/AK48+100*AJ44+10*AF44/AF48+1*AL44/AL48+0.00001*AN44+0.000001*AP44</f>
        <v>960.47621447619042</v>
      </c>
      <c r="AR44" s="149" t="str">
        <f>IF(SUM(AC44:AE47)=12,J45,INDEX(T,82,lang))</f>
        <v>1G</v>
      </c>
      <c r="AS44" s="150">
        <f>SUMPRODUCT(($S$7:$S$54=AB44&amp;"_win")*($U$7:$U$54))+SUMPRODUCT(($T$7:$T$54=AB44&amp;"_win")*($U$7:$U$54))</f>
        <v>0</v>
      </c>
      <c r="AT44" s="151">
        <f>SUMPRODUCT(($S$7:$S$54=AB44&amp;"_draw")*($U$7:$U$54))+SUMPRODUCT(($T$7:$T$54=AB44&amp;"_draw")*($U$7:$U$54))</f>
        <v>0</v>
      </c>
      <c r="AU44" s="151">
        <f>SUMPRODUCT(($E$7:$E$54=AB44)*($U$7:$U$54)*($F$7:$F$54))+SUMPRODUCT(($H$7:$H$54=AB44)*($U$7:$U$54)*($G$7:$G$54))</f>
        <v>0</v>
      </c>
      <c r="AV44" s="151">
        <f>SUMPRODUCT(($E$7:$E$54=AB44)*($U$7:$U$54)*($G$7:$G$54))+SUMPRODUCT(($H$7:$H$54=AB44)*($U$7:$U$54)*($F$7:$F$54))</f>
        <v>0</v>
      </c>
      <c r="AW44" s="151">
        <f>AU44-AV44</f>
        <v>0</v>
      </c>
    </row>
    <row r="45" spans="1:79" ht="15" customHeight="1" x14ac:dyDescent="0.25">
      <c r="A45" s="25">
        <v>39</v>
      </c>
      <c r="B45" s="26" t="str">
        <f t="shared" si="0"/>
        <v>Tue</v>
      </c>
      <c r="C45" s="27" t="str">
        <f t="shared" si="1"/>
        <v>Jun 26, 2018</v>
      </c>
      <c r="D45" s="28">
        <f t="shared" si="8"/>
        <v>0.75</v>
      </c>
      <c r="E45" s="101" t="str">
        <f>AB29</f>
        <v>Nigeria</v>
      </c>
      <c r="F45" s="29">
        <v>1</v>
      </c>
      <c r="G45" s="30">
        <v>2</v>
      </c>
      <c r="H45" s="98" t="str">
        <f>AB26</f>
        <v>Argentina</v>
      </c>
      <c r="J45" s="63" t="str">
        <f>VLOOKUP(1,AA44:AK47,2,FALSE)</f>
        <v>England</v>
      </c>
      <c r="K45" s="64">
        <f>L45+M45+N45</f>
        <v>2</v>
      </c>
      <c r="L45" s="64">
        <f>VLOOKUP(1,AA44:AK47,3,FALSE)</f>
        <v>2</v>
      </c>
      <c r="M45" s="64">
        <f>VLOOKUP(1,AA44:AK47,4,FALSE)</f>
        <v>0</v>
      </c>
      <c r="N45" s="64">
        <f>VLOOKUP(1,AA44:AK47,5,FALSE)</f>
        <v>0</v>
      </c>
      <c r="O45" s="64" t="str">
        <f>VLOOKUP(1,AA44:AK47,6,FALSE) &amp; " - " &amp; VLOOKUP(1,AA44:AK47,7,FALSE)</f>
        <v>8 - 2</v>
      </c>
      <c r="P45" s="65">
        <f>L45*3+M45</f>
        <v>6</v>
      </c>
      <c r="R45" s="147">
        <f>DATE(2018,6,26)+TIME(7,0,0)+gmt_delta</f>
        <v>43277.75</v>
      </c>
      <c r="S45" s="152" t="str">
        <f t="shared" si="2"/>
        <v>Nigeria_lose</v>
      </c>
      <c r="T45" s="152" t="str">
        <f t="shared" si="3"/>
        <v>Argentina_win</v>
      </c>
      <c r="U45" s="148">
        <f t="shared" si="4"/>
        <v>0</v>
      </c>
      <c r="V45" s="147">
        <f t="shared" si="5"/>
        <v>0</v>
      </c>
      <c r="W45" s="147">
        <f t="shared" si="6"/>
        <v>0</v>
      </c>
      <c r="X45" s="147">
        <f t="shared" si="7"/>
        <v>1</v>
      </c>
      <c r="Y45" s="147">
        <f t="shared" si="9"/>
        <v>-1</v>
      </c>
      <c r="AA45" s="147">
        <f>COUNTIF(AQ44:AQ47,CONCATENATE("&gt;=",AQ45))</f>
        <v>4</v>
      </c>
      <c r="AB45" s="148" t="str">
        <f>VLOOKUP("Panama",T,lang,FALSE)</f>
        <v>Panama</v>
      </c>
      <c r="AC45" s="147">
        <f>COUNTIF($S$7:$T$54,"=" &amp; AB45 &amp; "_win")</f>
        <v>0</v>
      </c>
      <c r="AD45" s="147">
        <f>COUNTIF($S$7:$T$54,"=" &amp; AB45 &amp; "_draw")</f>
        <v>0</v>
      </c>
      <c r="AE45" s="147">
        <f>COUNTIF($S$7:$T$54,"=" &amp; AB45 &amp; "_lose")</f>
        <v>2</v>
      </c>
      <c r="AF45" s="147">
        <f>SUMIF($E$7:$E$54,$AB45,$F$7:$F$54) + SUMIF($H$7:$H$54,$AB45,$G$7:$G$54)</f>
        <v>1</v>
      </c>
      <c r="AG45" s="147">
        <f>SUMIF($E$7:$E$54,$AB45,$G$7:$G$54) + SUMIF($H$7:$H$54,$AB45,$F$7:$F$54)</f>
        <v>9</v>
      </c>
      <c r="AH45" s="147">
        <f>(AF45-AG45)*100+AK45*10000+AF45</f>
        <v>-799</v>
      </c>
      <c r="AI45" s="147">
        <f>AF45-AG45</f>
        <v>-8</v>
      </c>
      <c r="AJ45" s="147">
        <f>(AI45-AI49)/AI48</f>
        <v>0</v>
      </c>
      <c r="AK45" s="147">
        <f>AC45*3+AD45</f>
        <v>0</v>
      </c>
      <c r="AL45" s="147">
        <f>AS45/AS48*1000+AT45/AT48*100+AW45/AW48*10+AU45/AU48</f>
        <v>0</v>
      </c>
      <c r="AM45" s="147">
        <f>VLOOKUP(AB45,fair_play,2,FALSE)</f>
        <v>-5</v>
      </c>
      <c r="AN45" s="147">
        <f t="shared" ref="AN45:AN47" si="28">COUNTIF($AM$44:$AM$47,CONCATENATE("&lt;=",AM45))</f>
        <v>1</v>
      </c>
      <c r="AO45" s="147">
        <f>VLOOKUP(AB45,fair_play,3,FALSE)</f>
        <v>19</v>
      </c>
      <c r="AP45" s="147">
        <f t="shared" ref="AP45:AP47" si="29">COUNTIF($AO$44:$AO$47,CONCATENATE("&gt;=",AO45))</f>
        <v>2</v>
      </c>
      <c r="AQ45" s="148">
        <f>1000*AK45/AK48+100*AJ45+10*AF45/AF48+1*AL45/AL48+0.00001*AN45+0.000001*AP45</f>
        <v>1.2500120000000001</v>
      </c>
      <c r="AR45" s="149" t="str">
        <f>IF(SUM(AC44:AE47)=12,J46,INDEX(T,83,lang))</f>
        <v>2G</v>
      </c>
      <c r="AS45" s="150">
        <f>SUMPRODUCT(($S$7:$S$54=AB45&amp;"_win")*($U$7:$U$54))+SUMPRODUCT(($T$7:$T$54=AB45&amp;"_win")*($U$7:$U$54))</f>
        <v>0</v>
      </c>
      <c r="AT45" s="151">
        <f>SUMPRODUCT(($S$7:$S$54=AB45&amp;"_draw")*($U$7:$U$54))+SUMPRODUCT(($T$7:$T$54=AB45&amp;"_draw")*($U$7:$U$54))</f>
        <v>0</v>
      </c>
      <c r="AU45" s="151">
        <f>SUMPRODUCT(($E$7:$E$54=AB45)*($U$7:$U$54)*($F$7:$F$54))+SUMPRODUCT(($H$7:$H$54=AB45)*($U$7:$U$54)*($G$7:$G$54))</f>
        <v>0</v>
      </c>
      <c r="AV45" s="151">
        <f>SUMPRODUCT(($E$7:$E$54=AB45)*($U$7:$U$54)*($G$7:$G$54))+SUMPRODUCT(($H$7:$H$54=AB45)*($U$7:$U$54)*($F$7:$F$54))</f>
        <v>0</v>
      </c>
      <c r="AW45" s="151">
        <f>AU45-AV45</f>
        <v>0</v>
      </c>
    </row>
    <row r="46" spans="1:79" ht="15" customHeight="1" x14ac:dyDescent="0.25">
      <c r="A46" s="25">
        <v>40</v>
      </c>
      <c r="B46" s="26" t="str">
        <f t="shared" si="0"/>
        <v>Tue</v>
      </c>
      <c r="C46" s="27" t="str">
        <f t="shared" si="1"/>
        <v>Jun 26, 2018</v>
      </c>
      <c r="D46" s="28">
        <f t="shared" si="8"/>
        <v>0.75</v>
      </c>
      <c r="E46" s="101" t="str">
        <f>AB27</f>
        <v>Iceland</v>
      </c>
      <c r="F46" s="29">
        <v>1</v>
      </c>
      <c r="G46" s="30">
        <v>2</v>
      </c>
      <c r="H46" s="98" t="str">
        <f>AB28</f>
        <v>Croatia</v>
      </c>
      <c r="J46" s="66" t="str">
        <f>VLOOKUP(2,AA44:AK47,2,FALSE)</f>
        <v>Belgium</v>
      </c>
      <c r="K46" s="33">
        <f>L46+M46+N46</f>
        <v>2</v>
      </c>
      <c r="L46" s="33">
        <f>VLOOKUP(2,AA44:AK47,3,FALSE)</f>
        <v>2</v>
      </c>
      <c r="M46" s="33">
        <f>VLOOKUP(2,AA44:AK47,4,FALSE)</f>
        <v>0</v>
      </c>
      <c r="N46" s="33">
        <f>VLOOKUP(2,AA44:AK47,5,FALSE)</f>
        <v>0</v>
      </c>
      <c r="O46" s="33" t="str">
        <f>VLOOKUP(2,AA44:AK47,6,FALSE) &amp; " - " &amp; VLOOKUP(2,AA44:AK47,7,FALSE)</f>
        <v>8 - 2</v>
      </c>
      <c r="P46" s="67">
        <f>L46*3+M46</f>
        <v>6</v>
      </c>
      <c r="R46" s="147">
        <f>DATE(2018,6,26)+TIME(7,0,0)+gmt_delta</f>
        <v>43277.75</v>
      </c>
      <c r="S46" s="152" t="str">
        <f t="shared" si="2"/>
        <v>Iceland_lose</v>
      </c>
      <c r="T46" s="152" t="str">
        <f t="shared" si="3"/>
        <v>Croatia_win</v>
      </c>
      <c r="U46" s="148">
        <f t="shared" si="4"/>
        <v>0</v>
      </c>
      <c r="V46" s="147">
        <f t="shared" si="5"/>
        <v>0</v>
      </c>
      <c r="W46" s="147">
        <f t="shared" si="6"/>
        <v>0</v>
      </c>
      <c r="X46" s="147">
        <f t="shared" si="7"/>
        <v>0</v>
      </c>
      <c r="Y46" s="147">
        <f t="shared" si="9"/>
        <v>-1</v>
      </c>
      <c r="AA46" s="147">
        <f>COUNTIF(AQ44:AQ47,CONCATENATE("&gt;=",AQ46))</f>
        <v>3</v>
      </c>
      <c r="AB46" s="148" t="str">
        <f>VLOOKUP("Tunisia",T,lang,FALSE)</f>
        <v>Tunisia</v>
      </c>
      <c r="AC46" s="147">
        <f>COUNTIF($S$7:$T$54,"=" &amp; AB46 &amp; "_win")</f>
        <v>0</v>
      </c>
      <c r="AD46" s="147">
        <f>COUNTIF($S$7:$T$54,"=" &amp; AB46 &amp; "_draw")</f>
        <v>0</v>
      </c>
      <c r="AE46" s="147">
        <f>COUNTIF($S$7:$T$54,"=" &amp; AB46 &amp; "_lose")</f>
        <v>2</v>
      </c>
      <c r="AF46" s="147">
        <f>SUMIF($E$7:$E$54,$AB46,$F$7:$F$54) + SUMIF($H$7:$H$54,$AB46,$G$7:$G$54)</f>
        <v>3</v>
      </c>
      <c r="AG46" s="147">
        <f>SUMIF($E$7:$E$54,$AB46,$G$7:$G$54) + SUMIF($H$7:$H$54,$AB46,$F$7:$F$54)</f>
        <v>7</v>
      </c>
      <c r="AH46" s="147">
        <f>(AF46-AG46)*100+AK46*10000+AF46</f>
        <v>-397</v>
      </c>
      <c r="AI46" s="147">
        <f>AF46-AG46</f>
        <v>-4</v>
      </c>
      <c r="AJ46" s="147">
        <f>(AI46-AI49)/AI48</f>
        <v>0.26666666666666666</v>
      </c>
      <c r="AK46" s="147">
        <f>AC46*3+AD46</f>
        <v>0</v>
      </c>
      <c r="AL46" s="147">
        <f>AS46/AS48*1000+AT46/AT48*100+AW46/AW48*10+AU46/AU48</f>
        <v>0</v>
      </c>
      <c r="AM46" s="147">
        <f>VLOOKUP(AB46,fair_play,2,FALSE)</f>
        <v>-1</v>
      </c>
      <c r="AN46" s="147">
        <f t="shared" si="28"/>
        <v>4</v>
      </c>
      <c r="AO46" s="147">
        <f>VLOOKUP(AB46,fair_play,3,FALSE)</f>
        <v>30</v>
      </c>
      <c r="AP46" s="147">
        <f t="shared" si="29"/>
        <v>1</v>
      </c>
      <c r="AQ46" s="148">
        <f>1000*AK46/AK48+100*AJ46+10*AF46/AF48+1*AL46/AL48+0.00001*AN46+0.000001*AP46</f>
        <v>30.416707666666667</v>
      </c>
      <c r="AS46" s="150">
        <f>SUMPRODUCT(($S$7:$S$54=AB46&amp;"_win")*($U$7:$U$54))+SUMPRODUCT(($T$7:$T$54=AB46&amp;"_win")*($U$7:$U$54))</f>
        <v>0</v>
      </c>
      <c r="AT46" s="151">
        <f>SUMPRODUCT(($S$7:$S$54=AB46&amp;"_draw")*($U$7:$U$54))+SUMPRODUCT(($T$7:$T$54=AB46&amp;"_draw")*($U$7:$U$54))</f>
        <v>0</v>
      </c>
      <c r="AU46" s="151">
        <f>SUMPRODUCT(($E$7:$E$54=AB46)*($U$7:$U$54)*($F$7:$F$54))+SUMPRODUCT(($H$7:$H$54=AB46)*($U$7:$U$54)*($G$7:$G$54))</f>
        <v>0</v>
      </c>
      <c r="AV46" s="151">
        <f>SUMPRODUCT(($E$7:$E$54=AB46)*($U$7:$U$54)*($G$7:$G$54))+SUMPRODUCT(($H$7:$H$54=AB46)*($U$7:$U$54)*($F$7:$F$54))</f>
        <v>0</v>
      </c>
      <c r="AW46" s="151">
        <f>AU46-AV46</f>
        <v>0</v>
      </c>
      <c r="BB46" s="134" t="s">
        <v>2219</v>
      </c>
      <c r="BC46" s="135"/>
      <c r="BD46" s="135"/>
      <c r="BE46" s="135"/>
      <c r="BF46" s="136"/>
    </row>
    <row r="47" spans="1:79" ht="15" customHeight="1" x14ac:dyDescent="0.25">
      <c r="A47" s="25">
        <v>41</v>
      </c>
      <c r="B47" s="26" t="str">
        <f t="shared" si="0"/>
        <v>Wed</v>
      </c>
      <c r="C47" s="27" t="str">
        <f t="shared" si="1"/>
        <v>Jun 27, 2018</v>
      </c>
      <c r="D47" s="28">
        <f t="shared" si="8"/>
        <v>0.75</v>
      </c>
      <c r="E47" s="101" t="str">
        <f>AB35</f>
        <v>Serbia</v>
      </c>
      <c r="F47" s="29"/>
      <c r="G47" s="30"/>
      <c r="H47" s="98" t="str">
        <f>AB32</f>
        <v>Brazil</v>
      </c>
      <c r="J47" s="66" t="str">
        <f>VLOOKUP(3,AA44:AK47,2,FALSE)</f>
        <v>Tunisia</v>
      </c>
      <c r="K47" s="33">
        <f>L47+M47+N47</f>
        <v>2</v>
      </c>
      <c r="L47" s="33">
        <f>VLOOKUP(3,AA44:AK47,3,FALSE)</f>
        <v>0</v>
      </c>
      <c r="M47" s="33">
        <f>VLOOKUP(3,AA44:AK47,4,FALSE)</f>
        <v>0</v>
      </c>
      <c r="N47" s="33">
        <f>VLOOKUP(3,AA44:AK47,5,FALSE)</f>
        <v>2</v>
      </c>
      <c r="O47" s="33" t="str">
        <f>VLOOKUP(3,AA44:AK47,6,FALSE) &amp; " - " &amp; VLOOKUP(3,AA44:AK47,7,FALSE)</f>
        <v>3 - 7</v>
      </c>
      <c r="P47" s="67">
        <f>L47*3+M47</f>
        <v>0</v>
      </c>
      <c r="R47" s="147">
        <f>DATE(2018,6,27)+TIME(7,0,0)+gmt_delta</f>
        <v>43278.75</v>
      </c>
      <c r="S47" s="152" t="str">
        <f t="shared" si="2"/>
        <v/>
      </c>
      <c r="T47" s="152" t="str">
        <f t="shared" si="3"/>
        <v/>
      </c>
      <c r="U47" s="148">
        <f t="shared" si="4"/>
        <v>0</v>
      </c>
      <c r="V47" s="147">
        <f t="shared" si="5"/>
        <v>0</v>
      </c>
      <c r="W47" s="147">
        <f t="shared" si="6"/>
        <v>0</v>
      </c>
      <c r="X47" s="147">
        <f t="shared" si="7"/>
        <v>0</v>
      </c>
      <c r="Y47" s="147" t="str">
        <f t="shared" si="9"/>
        <v/>
      </c>
      <c r="AA47" s="147">
        <f>COUNTIF(AQ44:AQ47,CONCATENATE("&gt;=",AQ47))</f>
        <v>1</v>
      </c>
      <c r="AB47" s="148" t="str">
        <f>VLOOKUP("England",T,lang,FALSE)</f>
        <v>England</v>
      </c>
      <c r="AC47" s="147">
        <f>COUNTIF($S$7:$T$54,"=" &amp; AB47 &amp; "_win")</f>
        <v>2</v>
      </c>
      <c r="AD47" s="147">
        <f>COUNTIF($S$7:$T$54,"=" &amp; AB47 &amp; "_draw")</f>
        <v>0</v>
      </c>
      <c r="AE47" s="147">
        <f>COUNTIF($S$7:$T$54,"=" &amp; AB47 &amp; "_lose")</f>
        <v>0</v>
      </c>
      <c r="AF47" s="147">
        <f>SUMIF($E$7:$E$54,$AB47,$F$7:$F$54) + SUMIF($H$7:$H$54,$AB47,$G$7:$G$54)</f>
        <v>8</v>
      </c>
      <c r="AG47" s="147">
        <f>SUMIF($E$7:$E$54,$AB47,$G$7:$G$54) + SUMIF($H$7:$H$54,$AB47,$F$7:$F$54)</f>
        <v>2</v>
      </c>
      <c r="AH47" s="147">
        <f>(AF47-AG47)*100+AK47*10000+AF47</f>
        <v>60608</v>
      </c>
      <c r="AI47" s="147">
        <f>AF47-AG47</f>
        <v>6</v>
      </c>
      <c r="AJ47" s="147">
        <f>(AI47-AI49)/AI48</f>
        <v>0.93333333333333335</v>
      </c>
      <c r="AK47" s="147">
        <f>AC47*3+AD47</f>
        <v>6</v>
      </c>
      <c r="AL47" s="147">
        <f>AS47/AS48*1000+AT47/AT48*100+AW47/AW48*10+AU47/AU48</f>
        <v>0</v>
      </c>
      <c r="AM47" s="147">
        <f>VLOOKUP(AB47,fair_play,2,FALSE)</f>
        <v>-2</v>
      </c>
      <c r="AN47" s="147">
        <f t="shared" si="28"/>
        <v>3</v>
      </c>
      <c r="AO47" s="147">
        <f>VLOOKUP(AB47,fair_play,3,FALSE)</f>
        <v>9</v>
      </c>
      <c r="AP47" s="147">
        <f t="shared" si="29"/>
        <v>3</v>
      </c>
      <c r="AQ47" s="148">
        <f>1000*AK47/AK48+100*AJ47+10*AF47/AF48+1*AL47/AL48+0.00001*AN47+0.000001*AP47</f>
        <v>960.47622347619051</v>
      </c>
      <c r="AS47" s="150">
        <f>SUMPRODUCT(($S$7:$S$54=AB47&amp;"_win")*($U$7:$U$54))+SUMPRODUCT(($T$7:$T$54=AB47&amp;"_win")*($U$7:$U$54))</f>
        <v>0</v>
      </c>
      <c r="AT47" s="151">
        <f>SUMPRODUCT(($S$7:$S$54=AB47&amp;"_draw")*($U$7:$U$54))+SUMPRODUCT(($T$7:$T$54=AB47&amp;"_draw")*($U$7:$U$54))</f>
        <v>0</v>
      </c>
      <c r="AU47" s="151">
        <f>SUMPRODUCT(($E$7:$E$54=AB47)*($U$7:$U$54)*($F$7:$F$54))+SUMPRODUCT(($H$7:$H$54=AB47)*($U$7:$U$54)*($G$7:$G$54))</f>
        <v>0</v>
      </c>
      <c r="AV47" s="151">
        <f>SUMPRODUCT(($E$7:$E$54=AB47)*($U$7:$U$54)*($G$7:$G$54))+SUMPRODUCT(($H$7:$H$54=AB47)*($U$7:$U$54)*($F$7:$F$54))</f>
        <v>0</v>
      </c>
      <c r="AW47" s="151">
        <f>AU47-AV47</f>
        <v>0</v>
      </c>
      <c r="BB47" s="137"/>
      <c r="BC47" s="138"/>
      <c r="BD47" s="138"/>
      <c r="BE47" s="138"/>
      <c r="BF47" s="139"/>
    </row>
    <row r="48" spans="1:79" ht="15" customHeight="1" x14ac:dyDescent="0.25">
      <c r="A48" s="25">
        <v>42</v>
      </c>
      <c r="B48" s="26" t="str">
        <f t="shared" si="0"/>
        <v>Wed</v>
      </c>
      <c r="C48" s="27" t="str">
        <f t="shared" si="1"/>
        <v>Jun 27, 2018</v>
      </c>
      <c r="D48" s="28">
        <f t="shared" si="8"/>
        <v>0.75</v>
      </c>
      <c r="E48" s="101" t="str">
        <f>AB33</f>
        <v>Switzerland</v>
      </c>
      <c r="F48" s="29"/>
      <c r="G48" s="30"/>
      <c r="H48" s="98" t="str">
        <f>AB34</f>
        <v>Costa Rica</v>
      </c>
      <c r="J48" s="68" t="str">
        <f>VLOOKUP(4,AA44:AK47,2,FALSE)</f>
        <v>Panama</v>
      </c>
      <c r="K48" s="69">
        <f>L48+M48+N48</f>
        <v>2</v>
      </c>
      <c r="L48" s="69">
        <f>VLOOKUP(4,AA44:AK47,3,FALSE)</f>
        <v>0</v>
      </c>
      <c r="M48" s="69">
        <f>VLOOKUP(4,AA44:AK47,4,FALSE)</f>
        <v>0</v>
      </c>
      <c r="N48" s="69">
        <f>VLOOKUP(4,AA44:AK47,5,FALSE)</f>
        <v>2</v>
      </c>
      <c r="O48" s="69" t="str">
        <f>VLOOKUP(4,AA44:AK47,6,FALSE) &amp; " - " &amp; VLOOKUP(4,AA44:AK47,7,FALSE)</f>
        <v>1 - 9</v>
      </c>
      <c r="P48" s="70">
        <f>L48*3+M48</f>
        <v>0</v>
      </c>
      <c r="R48" s="147">
        <f>DATE(2018,6,27)+TIME(7,0,0)+gmt_delta</f>
        <v>43278.75</v>
      </c>
      <c r="S48" s="152" t="str">
        <f t="shared" si="2"/>
        <v/>
      </c>
      <c r="T48" s="152" t="str">
        <f t="shared" si="3"/>
        <v/>
      </c>
      <c r="U48" s="148">
        <f t="shared" si="4"/>
        <v>0</v>
      </c>
      <c r="V48" s="147">
        <f t="shared" si="5"/>
        <v>0</v>
      </c>
      <c r="W48" s="147">
        <f t="shared" si="6"/>
        <v>0</v>
      </c>
      <c r="X48" s="147">
        <f t="shared" si="7"/>
        <v>0</v>
      </c>
      <c r="Y48" s="147" t="str">
        <f t="shared" si="9"/>
        <v/>
      </c>
      <c r="AC48" s="147">
        <f t="shared" ref="AC48:AL48" si="30">MAX(AC44:AC47)-MIN(AC44:AC47)+1</f>
        <v>3</v>
      </c>
      <c r="AD48" s="147">
        <f t="shared" si="30"/>
        <v>1</v>
      </c>
      <c r="AE48" s="147">
        <f t="shared" si="30"/>
        <v>3</v>
      </c>
      <c r="AF48" s="147">
        <f t="shared" si="30"/>
        <v>8</v>
      </c>
      <c r="AG48" s="147">
        <f t="shared" si="30"/>
        <v>8</v>
      </c>
      <c r="AH48" s="147">
        <f>MAX(AH44:AH47)-AH49+1</f>
        <v>61408</v>
      </c>
      <c r="AI48" s="147">
        <f>MAX(AI44:AI47)-AI49+1</f>
        <v>15</v>
      </c>
      <c r="AK48" s="147">
        <f t="shared" si="30"/>
        <v>7</v>
      </c>
      <c r="AL48" s="147">
        <f t="shared" si="30"/>
        <v>1</v>
      </c>
      <c r="AM48" s="147"/>
      <c r="AN48" s="147"/>
      <c r="AO48" s="147"/>
      <c r="AP48" s="147"/>
      <c r="AS48" s="147">
        <f>MAX(AS44:AS47)-MIN(AS44:AS47)+1</f>
        <v>1</v>
      </c>
      <c r="AT48" s="147">
        <f>MAX(AT44:AT47)-MIN(AT44:AT47)+1</f>
        <v>1</v>
      </c>
      <c r="AU48" s="147">
        <f>MAX(AU44:AU47)-MIN(AU44:AU47)+1</f>
        <v>1</v>
      </c>
      <c r="AV48" s="147">
        <f>MAX(AV44:AV47)-MIN(AV44:AV47)+1</f>
        <v>1</v>
      </c>
      <c r="AW48" s="147">
        <f>MAX(AW44:AW47)-MIN(AW44:AW47)+1</f>
        <v>1</v>
      </c>
      <c r="BB48" s="137"/>
      <c r="BC48" s="138"/>
      <c r="BD48" s="138"/>
      <c r="BE48" s="138"/>
      <c r="BF48" s="139"/>
    </row>
    <row r="49" spans="1:58" ht="15" customHeight="1" x14ac:dyDescent="0.25">
      <c r="A49" s="25">
        <v>43</v>
      </c>
      <c r="B49" s="26" t="str">
        <f t="shared" si="0"/>
        <v>Wed</v>
      </c>
      <c r="C49" s="27" t="str">
        <f t="shared" si="1"/>
        <v>Jun 27, 2018</v>
      </c>
      <c r="D49" s="28">
        <f t="shared" si="8"/>
        <v>0.58333333333333337</v>
      </c>
      <c r="E49" s="101" t="str">
        <f>AB41</f>
        <v>Korea Republic</v>
      </c>
      <c r="F49" s="29"/>
      <c r="G49" s="30"/>
      <c r="H49" s="98" t="str">
        <f>AB38</f>
        <v>Germany</v>
      </c>
      <c r="R49" s="147">
        <f>DATE(2018,6,27)+TIME(3,0,0)+gmt_delta</f>
        <v>43278.583333333336</v>
      </c>
      <c r="S49" s="152" t="str">
        <f t="shared" si="2"/>
        <v/>
      </c>
      <c r="T49" s="152" t="str">
        <f t="shared" si="3"/>
        <v/>
      </c>
      <c r="U49" s="148">
        <f t="shared" si="4"/>
        <v>0</v>
      </c>
      <c r="V49" s="147">
        <f t="shared" si="5"/>
        <v>0</v>
      </c>
      <c r="W49" s="147">
        <f t="shared" si="6"/>
        <v>0</v>
      </c>
      <c r="X49" s="147">
        <f t="shared" si="7"/>
        <v>0</v>
      </c>
      <c r="Y49" s="147" t="str">
        <f t="shared" si="9"/>
        <v/>
      </c>
      <c r="AH49" s="147">
        <f>MIN(AH44:AH47)</f>
        <v>-799</v>
      </c>
      <c r="AI49" s="147">
        <f>MIN(AI44:AI47)</f>
        <v>-8</v>
      </c>
      <c r="AO49" s="147"/>
      <c r="AP49" s="147"/>
      <c r="BB49" s="137"/>
      <c r="BC49" s="138"/>
      <c r="BD49" s="138"/>
      <c r="BE49" s="138"/>
      <c r="BF49" s="139"/>
    </row>
    <row r="50" spans="1:58" ht="15" customHeight="1" x14ac:dyDescent="0.25">
      <c r="A50" s="25">
        <v>44</v>
      </c>
      <c r="B50" s="26" t="str">
        <f t="shared" si="0"/>
        <v>Wed</v>
      </c>
      <c r="C50" s="27" t="str">
        <f t="shared" si="1"/>
        <v>Jun 27, 2018</v>
      </c>
      <c r="D50" s="28">
        <f t="shared" si="8"/>
        <v>0.58333333333333337</v>
      </c>
      <c r="E50" s="101" t="str">
        <f>AB39</f>
        <v>Mexico</v>
      </c>
      <c r="F50" s="29"/>
      <c r="G50" s="30"/>
      <c r="H50" s="98" t="str">
        <f>AB40</f>
        <v>Sweden</v>
      </c>
      <c r="J50" s="71" t="str">
        <f>INDEX(T,9,lang) &amp; " " &amp; "H"</f>
        <v>Group H</v>
      </c>
      <c r="K50" s="72" t="str">
        <f>INDEX(T,10,lang)</f>
        <v>PL</v>
      </c>
      <c r="L50" s="72" t="str">
        <f>INDEX(T,11,lang)</f>
        <v>W</v>
      </c>
      <c r="M50" s="72" t="str">
        <f>INDEX(T,12,lang)</f>
        <v>DRAW</v>
      </c>
      <c r="N50" s="72" t="str">
        <f>INDEX(T,13,lang)</f>
        <v>L</v>
      </c>
      <c r="O50" s="72" t="str">
        <f>INDEX(T,14,lang)</f>
        <v>GF - GA</v>
      </c>
      <c r="P50" s="73" t="str">
        <f>INDEX(T,15,lang)</f>
        <v>PNT</v>
      </c>
      <c r="R50" s="147">
        <f>DATE(2018,6,27)+TIME(3,0,0)+gmt_delta</f>
        <v>43278.583333333336</v>
      </c>
      <c r="S50" s="152" t="str">
        <f t="shared" si="2"/>
        <v/>
      </c>
      <c r="T50" s="152" t="str">
        <f t="shared" si="3"/>
        <v/>
      </c>
      <c r="U50" s="148">
        <f t="shared" si="4"/>
        <v>0</v>
      </c>
      <c r="V50" s="147">
        <f t="shared" si="5"/>
        <v>0</v>
      </c>
      <c r="W50" s="147">
        <f t="shared" si="6"/>
        <v>0</v>
      </c>
      <c r="X50" s="147">
        <f t="shared" si="7"/>
        <v>0</v>
      </c>
      <c r="Y50" s="147" t="str">
        <f t="shared" si="9"/>
        <v/>
      </c>
      <c r="AA50" s="147">
        <f>COUNTIF(AQ50:AQ53,CONCATENATE("&gt;=",AQ50))</f>
        <v>4</v>
      </c>
      <c r="AB50" s="148" t="str">
        <f>VLOOKUP("Poland",T,lang,FALSE)</f>
        <v>Poland</v>
      </c>
      <c r="AC50" s="147">
        <f>COUNTIF($S$7:$T$54,"=" &amp; AB50 &amp; "_win")</f>
        <v>0</v>
      </c>
      <c r="AD50" s="147">
        <f>COUNTIF($S$7:$T$54,"=" &amp; AB50 &amp; "_draw")</f>
        <v>0</v>
      </c>
      <c r="AE50" s="147">
        <f>COUNTIF($S$7:$T$54,"=" &amp; AB50 &amp; "_lose")</f>
        <v>2</v>
      </c>
      <c r="AF50" s="147">
        <f>SUMIF($E$7:$E$54,$AB50,$F$7:$F$54) + SUMIF($H$7:$H$54,$AB50,$G$7:$G$54)</f>
        <v>1</v>
      </c>
      <c r="AG50" s="147">
        <f>SUMIF($E$7:$E$54,$AB50,$G$7:$G$54) + SUMIF($H$7:$H$54,$AB50,$F$7:$F$54)</f>
        <v>5</v>
      </c>
      <c r="AH50" s="147">
        <f>(AF50-AG50)*100+AK50*10000+AF50</f>
        <v>-399</v>
      </c>
      <c r="AI50" s="147">
        <f>AF50-AG50</f>
        <v>-4</v>
      </c>
      <c r="AJ50" s="147">
        <f>(AI50-AI55)/AI54</f>
        <v>0</v>
      </c>
      <c r="AK50" s="147">
        <f>AC50*3+AD50</f>
        <v>0</v>
      </c>
      <c r="AL50" s="147">
        <f>AS50/AS54*1000+AT50/AT54*100+AW50/AW54*10+AU50/AU54</f>
        <v>0</v>
      </c>
      <c r="AM50" s="147">
        <f>VLOOKUP(AB50,fair_play,2,FALSE)</f>
        <v>-6</v>
      </c>
      <c r="AN50" s="147">
        <f>COUNTIF($AM$50:$AM$53,CONCATENATE("&lt;=",AM50))</f>
        <v>3</v>
      </c>
      <c r="AO50" s="147">
        <f>VLOOKUP(AB50,fair_play,3,FALSE)</f>
        <v>21</v>
      </c>
      <c r="AP50" s="147">
        <f>COUNTIF($AO$50:$AO$53,CONCATENATE("&gt;=",AO50))</f>
        <v>2</v>
      </c>
      <c r="AQ50" s="148">
        <f>1000*AK50/AK54+100*AJ50+10*AF50/AF54+1*AL50/AL54+0.00001*AN50+0.000001*AP50</f>
        <v>2.500032</v>
      </c>
      <c r="AR50" s="149" t="str">
        <f>IF(SUM(AC50:AE53)=12,J51,INDEX(T,84,lang))</f>
        <v>1H</v>
      </c>
      <c r="AS50" s="150">
        <f>SUMPRODUCT(($S$7:$S$54=AB50&amp;"_win")*($U$7:$U$54))+SUMPRODUCT(($T$7:$T$54=AB50&amp;"_win")*($U$7:$U$54))</f>
        <v>0</v>
      </c>
      <c r="AT50" s="151">
        <f>SUMPRODUCT(($S$7:$S$54=AB50&amp;"_draw")*($U$7:$U$54))+SUMPRODUCT(($T$7:$T$54=AB50&amp;"_draw")*($U$7:$U$54))</f>
        <v>0</v>
      </c>
      <c r="AU50" s="151">
        <f>SUMPRODUCT(($E$7:$E$54=AB50)*($U$7:$U$54)*($F$7:$F$54))+SUMPRODUCT(($H$7:$H$54=AB50)*($U$7:$U$54)*($G$7:$G$54))</f>
        <v>0</v>
      </c>
      <c r="AV50" s="151">
        <f>SUMPRODUCT(($E$7:$E$54=AB50)*($U$7:$U$54)*($G$7:$G$54))+SUMPRODUCT(($H$7:$H$54=AB50)*($U$7:$U$54)*($F$7:$F$54))</f>
        <v>0</v>
      </c>
      <c r="AW50" s="151">
        <f>AU50-AV50</f>
        <v>0</v>
      </c>
      <c r="BB50" s="137"/>
      <c r="BC50" s="138"/>
      <c r="BD50" s="138"/>
      <c r="BE50" s="138"/>
      <c r="BF50" s="139"/>
    </row>
    <row r="51" spans="1:58" ht="15" customHeight="1" x14ac:dyDescent="0.25">
      <c r="A51" s="25">
        <v>45</v>
      </c>
      <c r="B51" s="26" t="str">
        <f t="shared" si="0"/>
        <v>Thu</v>
      </c>
      <c r="C51" s="27" t="str">
        <f t="shared" si="1"/>
        <v>Jun 28, 2018</v>
      </c>
      <c r="D51" s="28">
        <f t="shared" si="8"/>
        <v>0.75</v>
      </c>
      <c r="E51" s="101" t="str">
        <f>AB47</f>
        <v>England</v>
      </c>
      <c r="F51" s="29"/>
      <c r="G51" s="30"/>
      <c r="H51" s="98" t="str">
        <f>AB44</f>
        <v>Belgium</v>
      </c>
      <c r="J51" s="63" t="str">
        <f>VLOOKUP(1,AA50:AK53,2,FALSE)</f>
        <v>Japan</v>
      </c>
      <c r="K51" s="64">
        <f>L51+M51+N51</f>
        <v>2</v>
      </c>
      <c r="L51" s="64">
        <f>VLOOKUP(1,AA50:AK53,3,FALSE)</f>
        <v>1</v>
      </c>
      <c r="M51" s="64">
        <f>VLOOKUP(1,AA50:AK53,4,FALSE)</f>
        <v>1</v>
      </c>
      <c r="N51" s="64">
        <f>VLOOKUP(1,AA50:AK53,5,FALSE)</f>
        <v>0</v>
      </c>
      <c r="O51" s="64" t="str">
        <f>VLOOKUP(1,AA50:AK53,6,FALSE) &amp; " - " &amp; VLOOKUP(1,AA50:AK53,7,FALSE)</f>
        <v>4 - 3</v>
      </c>
      <c r="P51" s="65">
        <f>L51*3+M51</f>
        <v>4</v>
      </c>
      <c r="R51" s="147">
        <f>DATE(2018,6,28)+TIME(7,0,0)+gmt_delta</f>
        <v>43279.75</v>
      </c>
      <c r="S51" s="152" t="str">
        <f t="shared" si="2"/>
        <v/>
      </c>
      <c r="T51" s="152" t="str">
        <f t="shared" si="3"/>
        <v/>
      </c>
      <c r="U51" s="148">
        <f t="shared" si="4"/>
        <v>0</v>
      </c>
      <c r="V51" s="147">
        <f t="shared" si="5"/>
        <v>0</v>
      </c>
      <c r="W51" s="147">
        <f t="shared" si="6"/>
        <v>0</v>
      </c>
      <c r="X51" s="147">
        <f t="shared" si="7"/>
        <v>0</v>
      </c>
      <c r="Y51" s="147" t="str">
        <f t="shared" si="9"/>
        <v/>
      </c>
      <c r="AA51" s="147">
        <f>COUNTIF(AQ50:AQ53,CONCATENATE("&gt;=",AQ51))</f>
        <v>2</v>
      </c>
      <c r="AB51" s="148" t="str">
        <f>VLOOKUP("Senegal",T,lang,FALSE)</f>
        <v>Senegal</v>
      </c>
      <c r="AC51" s="147">
        <f>COUNTIF($S$7:$T$54,"=" &amp; AB51 &amp; "_win")</f>
        <v>1</v>
      </c>
      <c r="AD51" s="147">
        <f>COUNTIF($S$7:$T$54,"=" &amp; AB51 &amp; "_draw")</f>
        <v>1</v>
      </c>
      <c r="AE51" s="147">
        <f>COUNTIF($S$7:$T$54,"=" &amp; AB51 &amp; "_lose")</f>
        <v>0</v>
      </c>
      <c r="AF51" s="147">
        <f>SUMIF($E$7:$E$54,$AB51,$F$7:$F$54) + SUMIF($H$7:$H$54,$AB51,$G$7:$G$54)</f>
        <v>4</v>
      </c>
      <c r="AG51" s="147">
        <f>SUMIF($E$7:$E$54,$AB51,$G$7:$G$54) + SUMIF($H$7:$H$54,$AB51,$F$7:$F$54)</f>
        <v>3</v>
      </c>
      <c r="AH51" s="147">
        <f>(AF51-AG51)*100+AK51*10000+AF51</f>
        <v>40104</v>
      </c>
      <c r="AI51" s="147">
        <f>AF51-AG51</f>
        <v>1</v>
      </c>
      <c r="AJ51" s="147">
        <f>(AI51-AI55)/AI54</f>
        <v>0.7142857142857143</v>
      </c>
      <c r="AK51" s="147">
        <f>AC51*3+AD51</f>
        <v>4</v>
      </c>
      <c r="AL51" s="147">
        <f>AS51/AS54*1000+AT51/AT54*100+AW51/AW54*10+AU51/AU54</f>
        <v>50.666666666666664</v>
      </c>
      <c r="AM51" s="147">
        <f>VLOOKUP(AB51,fair_play,2,FALSE)</f>
        <v>-6</v>
      </c>
      <c r="AN51" s="147">
        <f t="shared" ref="AN51:AN53" si="31">COUNTIF($AM$50:$AM$53,CONCATENATE("&lt;=",AM51))</f>
        <v>3</v>
      </c>
      <c r="AO51" s="147">
        <f>VLOOKUP(AB51,fair_play,3,FALSE)</f>
        <v>25</v>
      </c>
      <c r="AP51" s="147">
        <f t="shared" ref="AP51:AP53" si="32">COUNTIF($AO$50:$AO$53,CONCATENATE("&gt;=",AO51))</f>
        <v>1</v>
      </c>
      <c r="AQ51" s="148">
        <f>1000*AK51/AK54+100*AJ51+10*AF51/AF54+1*AL51/AL54+0.00001*AN51+0.000001*AP51</f>
        <v>882.40924758986182</v>
      </c>
      <c r="AR51" s="149" t="str">
        <f>IF(SUM(AC50:AE53)=12,J52,INDEX(T,85,lang))</f>
        <v>2H</v>
      </c>
      <c r="AS51" s="150">
        <f>SUMPRODUCT(($S$7:$S$54=AB51&amp;"_win")*($U$7:$U$54))+SUMPRODUCT(($T$7:$T$54=AB51&amp;"_win")*($U$7:$U$54))</f>
        <v>0</v>
      </c>
      <c r="AT51" s="151">
        <f>SUMPRODUCT(($S$7:$S$54=AB51&amp;"_draw")*($U$7:$U$54))+SUMPRODUCT(($T$7:$T$54=AB51&amp;"_draw")*($U$7:$U$54))</f>
        <v>1</v>
      </c>
      <c r="AU51" s="151">
        <f>SUMPRODUCT(($E$7:$E$54=AB51)*($U$7:$U$54)*($F$7:$F$54))+SUMPRODUCT(($H$7:$H$54=AB51)*($U$7:$U$54)*($G$7:$G$54))</f>
        <v>2</v>
      </c>
      <c r="AV51" s="151">
        <f>SUMPRODUCT(($E$7:$E$54=AB51)*($U$7:$U$54)*($G$7:$G$54))+SUMPRODUCT(($H$7:$H$54=AB51)*($U$7:$U$54)*($F$7:$F$54))</f>
        <v>2</v>
      </c>
      <c r="AW51" s="151">
        <f>AU51-AV51</f>
        <v>0</v>
      </c>
      <c r="BB51" s="137"/>
      <c r="BC51" s="138"/>
      <c r="BD51" s="138"/>
      <c r="BE51" s="138"/>
      <c r="BF51" s="139"/>
    </row>
    <row r="52" spans="1:58" ht="15" customHeight="1" x14ac:dyDescent="0.25">
      <c r="A52" s="25">
        <v>46</v>
      </c>
      <c r="B52" s="26" t="str">
        <f t="shared" si="0"/>
        <v>Thu</v>
      </c>
      <c r="C52" s="27" t="str">
        <f t="shared" si="1"/>
        <v>Jun 28, 2018</v>
      </c>
      <c r="D52" s="28">
        <f t="shared" si="8"/>
        <v>0.75</v>
      </c>
      <c r="E52" s="101" t="str">
        <f>AB45</f>
        <v>Panama</v>
      </c>
      <c r="F52" s="29"/>
      <c r="G52" s="30"/>
      <c r="H52" s="98" t="str">
        <f>AB46</f>
        <v>Tunisia</v>
      </c>
      <c r="J52" s="66" t="str">
        <f>VLOOKUP(2,AA50:AK53,2,FALSE)</f>
        <v>Senegal</v>
      </c>
      <c r="K52" s="33">
        <f>L52+M52+N52</f>
        <v>2</v>
      </c>
      <c r="L52" s="33">
        <f>VLOOKUP(2,AA50:AK53,3,FALSE)</f>
        <v>1</v>
      </c>
      <c r="M52" s="33">
        <f>VLOOKUP(2,AA50:AK53,4,FALSE)</f>
        <v>1</v>
      </c>
      <c r="N52" s="33">
        <f>VLOOKUP(2,AA50:AK53,5,FALSE)</f>
        <v>0</v>
      </c>
      <c r="O52" s="33" t="str">
        <f>VLOOKUP(2,AA50:AK53,6,FALSE) &amp; " - " &amp; VLOOKUP(2,AA50:AK53,7,FALSE)</f>
        <v>4 - 3</v>
      </c>
      <c r="P52" s="67">
        <f>L52*3+M52</f>
        <v>4</v>
      </c>
      <c r="R52" s="147">
        <f>DATE(2018,6,28)+TIME(7,0,0)+gmt_delta</f>
        <v>43279.75</v>
      </c>
      <c r="S52" s="152" t="str">
        <f t="shared" si="2"/>
        <v/>
      </c>
      <c r="T52" s="152" t="str">
        <f t="shared" si="3"/>
        <v/>
      </c>
      <c r="U52" s="148">
        <f t="shared" si="4"/>
        <v>0</v>
      </c>
      <c r="V52" s="147">
        <f t="shared" si="5"/>
        <v>0</v>
      </c>
      <c r="W52" s="147">
        <f t="shared" si="6"/>
        <v>0</v>
      </c>
      <c r="X52" s="147">
        <f t="shared" si="7"/>
        <v>0</v>
      </c>
      <c r="Y52" s="147" t="str">
        <f t="shared" si="9"/>
        <v/>
      </c>
      <c r="AA52" s="147">
        <f>COUNTIF(AQ50:AQ53,CONCATENATE("&gt;=",AQ52))</f>
        <v>3</v>
      </c>
      <c r="AB52" s="148" t="str">
        <f>VLOOKUP("Colombia",T,lang,FALSE)</f>
        <v>Colombia</v>
      </c>
      <c r="AC52" s="147">
        <f>COUNTIF($S$7:$T$54,"=" &amp; AB52 &amp; "_win")</f>
        <v>1</v>
      </c>
      <c r="AD52" s="147">
        <f>COUNTIF($S$7:$T$54,"=" &amp; AB52 &amp; "_draw")</f>
        <v>0</v>
      </c>
      <c r="AE52" s="147">
        <f>COUNTIF($S$7:$T$54,"=" &amp; AB52 &amp; "_lose")</f>
        <v>1</v>
      </c>
      <c r="AF52" s="147">
        <f>SUMIF($E$7:$E$54,$AB52,$F$7:$F$54) + SUMIF($H$7:$H$54,$AB52,$G$7:$G$54)</f>
        <v>4</v>
      </c>
      <c r="AG52" s="147">
        <f>SUMIF($E$7:$E$54,$AB52,$G$7:$G$54) + SUMIF($H$7:$H$54,$AB52,$F$7:$F$54)</f>
        <v>2</v>
      </c>
      <c r="AH52" s="147">
        <f>(AF52-AG52)*100+AK52*10000+AF52</f>
        <v>30204</v>
      </c>
      <c r="AI52" s="147">
        <f>AF52-AG52</f>
        <v>2</v>
      </c>
      <c r="AJ52" s="147">
        <f>(AI52-AI55)/AI54</f>
        <v>0.8571428571428571</v>
      </c>
      <c r="AK52" s="147">
        <f>AC52*3+AD52</f>
        <v>3</v>
      </c>
      <c r="AL52" s="147">
        <f>AS52/AS54*1000+AT52/AT54*100+AW52/AW54*10+AU52/AU54</f>
        <v>0</v>
      </c>
      <c r="AM52" s="147">
        <f>VLOOKUP(AB52,fair_play,2,FALSE)</f>
        <v>-6</v>
      </c>
      <c r="AN52" s="147">
        <f t="shared" si="31"/>
        <v>3</v>
      </c>
      <c r="AO52" s="147">
        <f>VLOOKUP(AB52,fair_play,3,FALSE)</f>
        <v>4</v>
      </c>
      <c r="AP52" s="147">
        <f t="shared" si="32"/>
        <v>4</v>
      </c>
      <c r="AQ52" s="148">
        <f>1000*AK52/AK54+100*AJ52+10*AF52/AF54+1*AL52/AL54+0.00001*AN52+0.000001*AP52</f>
        <v>695.71431971428569</v>
      </c>
      <c r="AS52" s="150">
        <f>SUMPRODUCT(($S$7:$S$54=AB52&amp;"_win")*($U$7:$U$54))+SUMPRODUCT(($T$7:$T$54=AB52&amp;"_win")*($U$7:$U$54))</f>
        <v>0</v>
      </c>
      <c r="AT52" s="151">
        <f>SUMPRODUCT(($S$7:$S$54=AB52&amp;"_draw")*($U$7:$U$54))+SUMPRODUCT(($T$7:$T$54=AB52&amp;"_draw")*($U$7:$U$54))</f>
        <v>0</v>
      </c>
      <c r="AU52" s="151">
        <f>SUMPRODUCT(($E$7:$E$54=AB52)*($U$7:$U$54)*($F$7:$F$54))+SUMPRODUCT(($H$7:$H$54=AB52)*($U$7:$U$54)*($G$7:$G$54))</f>
        <v>0</v>
      </c>
      <c r="AV52" s="151">
        <f>SUMPRODUCT(($E$7:$E$54=AB52)*($U$7:$U$54)*($G$7:$G$54))+SUMPRODUCT(($H$7:$H$54=AB52)*($U$7:$U$54)*($F$7:$F$54))</f>
        <v>0</v>
      </c>
      <c r="AW52" s="151">
        <f>AU52-AV52</f>
        <v>0</v>
      </c>
      <c r="BB52" s="140"/>
      <c r="BC52" s="141"/>
      <c r="BD52" s="141"/>
      <c r="BE52" s="141"/>
      <c r="BF52" s="142"/>
    </row>
    <row r="53" spans="1:58" ht="15" customHeight="1" x14ac:dyDescent="0.25">
      <c r="A53" s="25">
        <v>47</v>
      </c>
      <c r="B53" s="26" t="str">
        <f t="shared" si="0"/>
        <v>Thu</v>
      </c>
      <c r="C53" s="27" t="str">
        <f t="shared" si="1"/>
        <v>Jun 28, 2018</v>
      </c>
      <c r="D53" s="28">
        <f t="shared" si="8"/>
        <v>0.58333333333333337</v>
      </c>
      <c r="E53" s="101" t="str">
        <f>AB53</f>
        <v>Japan</v>
      </c>
      <c r="F53" s="29"/>
      <c r="G53" s="30"/>
      <c r="H53" s="98" t="str">
        <f>AB50</f>
        <v>Poland</v>
      </c>
      <c r="J53" s="66" t="str">
        <f>VLOOKUP(3,AA50:AK53,2,FALSE)</f>
        <v>Colombia</v>
      </c>
      <c r="K53" s="33">
        <f>L53+M53+N53</f>
        <v>2</v>
      </c>
      <c r="L53" s="33">
        <f>VLOOKUP(3,AA50:AK53,3,FALSE)</f>
        <v>1</v>
      </c>
      <c r="M53" s="33">
        <f>VLOOKUP(3,AA50:AK53,4,FALSE)</f>
        <v>0</v>
      </c>
      <c r="N53" s="33">
        <f>VLOOKUP(3,AA50:AK53,5,FALSE)</f>
        <v>1</v>
      </c>
      <c r="O53" s="33" t="str">
        <f>VLOOKUP(3,AA50:AK53,6,FALSE) &amp; " - " &amp; VLOOKUP(3,AA50:AK53,7,FALSE)</f>
        <v>4 - 2</v>
      </c>
      <c r="P53" s="67">
        <f>L53*3+M53</f>
        <v>3</v>
      </c>
      <c r="R53" s="147">
        <f>DATE(2018,6,28)+TIME(3,0,0)+gmt_delta</f>
        <v>43279.583333333336</v>
      </c>
      <c r="S53" s="152" t="str">
        <f t="shared" si="2"/>
        <v/>
      </c>
      <c r="T53" s="152" t="str">
        <f t="shared" si="3"/>
        <v/>
      </c>
      <c r="U53" s="148">
        <f t="shared" si="4"/>
        <v>0</v>
      </c>
      <c r="V53" s="147">
        <f t="shared" si="5"/>
        <v>0</v>
      </c>
      <c r="W53" s="147">
        <f t="shared" si="6"/>
        <v>0</v>
      </c>
      <c r="X53" s="147">
        <f t="shared" si="7"/>
        <v>0</v>
      </c>
      <c r="Y53" s="147" t="str">
        <f t="shared" si="9"/>
        <v/>
      </c>
      <c r="AA53" s="147">
        <f>COUNTIF(AQ50:AQ53,CONCATENATE("&gt;=",AQ53))</f>
        <v>1</v>
      </c>
      <c r="AB53" s="148" t="str">
        <f>VLOOKUP("Japan",T,lang,FALSE)</f>
        <v>Japan</v>
      </c>
      <c r="AC53" s="147">
        <f>COUNTIF($S$7:$T$54,"=" &amp; AB53 &amp; "_win")</f>
        <v>1</v>
      </c>
      <c r="AD53" s="147">
        <f>COUNTIF($S$7:$T$54,"=" &amp; AB53 &amp; "_draw")</f>
        <v>1</v>
      </c>
      <c r="AE53" s="147">
        <f>COUNTIF($S$7:$T$54,"=" &amp; AB53 &amp; "_lose")</f>
        <v>0</v>
      </c>
      <c r="AF53" s="147">
        <f>SUMIF($E$7:$E$54,$AB53,$F$7:$F$54) + SUMIF($H$7:$H$54,$AB53,$G$7:$G$54)</f>
        <v>4</v>
      </c>
      <c r="AG53" s="147">
        <f>SUMIF($E$7:$E$54,$AB53,$G$7:$G$54) + SUMIF($H$7:$H$54,$AB53,$F$7:$F$54)</f>
        <v>3</v>
      </c>
      <c r="AH53" s="147">
        <f>(AF53-AG53)*100+AK53*10000+AF53</f>
        <v>40104</v>
      </c>
      <c r="AI53" s="147">
        <f>AF53-AG53</f>
        <v>1</v>
      </c>
      <c r="AJ53" s="147">
        <f>(AI53-AI55)/AI54</f>
        <v>0.7142857142857143</v>
      </c>
      <c r="AK53" s="147">
        <f>AC53*3+AD53</f>
        <v>4</v>
      </c>
      <c r="AL53" s="147">
        <f>AS53/AS54*1000+AT53/AT54*100+AW53/AW54*10+AU53/AU54</f>
        <v>50.666666666666664</v>
      </c>
      <c r="AM53" s="147">
        <f>VLOOKUP(AB53,fair_play,2,FALSE)</f>
        <v>-3</v>
      </c>
      <c r="AN53" s="147">
        <f t="shared" si="31"/>
        <v>4</v>
      </c>
      <c r="AO53" s="147">
        <f>VLOOKUP(AB53,fair_play,3,FALSE)</f>
        <v>14</v>
      </c>
      <c r="AP53" s="147">
        <f t="shared" si="32"/>
        <v>3</v>
      </c>
      <c r="AQ53" s="148">
        <f>1000*AK53/AK54+100*AJ53+10*AF53/AF54+1*AL53/AL54+0.00001*AN53+0.000001*AP53</f>
        <v>882.40925958986179</v>
      </c>
      <c r="AS53" s="150">
        <f>SUMPRODUCT(($S$7:$S$54=AB53&amp;"_win")*($U$7:$U$54))+SUMPRODUCT(($T$7:$T$54=AB53&amp;"_win")*($U$7:$U$54))</f>
        <v>0</v>
      </c>
      <c r="AT53" s="151">
        <f>SUMPRODUCT(($S$7:$S$54=AB53&amp;"_draw")*($U$7:$U$54))+SUMPRODUCT(($T$7:$T$54=AB53&amp;"_draw")*($U$7:$U$54))</f>
        <v>1</v>
      </c>
      <c r="AU53" s="151">
        <f>SUMPRODUCT(($E$7:$E$54=AB53)*($U$7:$U$54)*($F$7:$F$54))+SUMPRODUCT(($H$7:$H$54=AB53)*($U$7:$U$54)*($G$7:$G$54))</f>
        <v>2</v>
      </c>
      <c r="AV53" s="151">
        <f>SUMPRODUCT(($E$7:$E$54=AB53)*($U$7:$U$54)*($G$7:$G$54))+SUMPRODUCT(($H$7:$H$54=AB53)*($U$7:$U$54)*($F$7:$F$54))</f>
        <v>2</v>
      </c>
      <c r="AW53" s="151">
        <f>AU53-AV53</f>
        <v>0</v>
      </c>
    </row>
    <row r="54" spans="1:58" ht="15" customHeight="1" x14ac:dyDescent="0.25">
      <c r="A54" s="49">
        <v>48</v>
      </c>
      <c r="B54" s="50" t="str">
        <f t="shared" si="0"/>
        <v>Thu</v>
      </c>
      <c r="C54" s="51" t="str">
        <f t="shared" si="1"/>
        <v>Jun 28, 2018</v>
      </c>
      <c r="D54" s="52">
        <f t="shared" si="8"/>
        <v>0.58333333333333337</v>
      </c>
      <c r="E54" s="102" t="str">
        <f>AB51</f>
        <v>Senegal</v>
      </c>
      <c r="F54" s="37"/>
      <c r="G54" s="38"/>
      <c r="H54" s="99" t="str">
        <f>AB52</f>
        <v>Colombia</v>
      </c>
      <c r="J54" s="68" t="str">
        <f>VLOOKUP(4,AA50:AK53,2,FALSE)</f>
        <v>Poland</v>
      </c>
      <c r="K54" s="69">
        <f>L54+M54+N54</f>
        <v>2</v>
      </c>
      <c r="L54" s="69">
        <f>VLOOKUP(4,AA50:AK53,3,FALSE)</f>
        <v>0</v>
      </c>
      <c r="M54" s="69">
        <f>VLOOKUP(4,AA50:AK53,4,FALSE)</f>
        <v>0</v>
      </c>
      <c r="N54" s="69">
        <f>VLOOKUP(4,AA50:AK53,5,FALSE)</f>
        <v>2</v>
      </c>
      <c r="O54" s="69" t="str">
        <f>VLOOKUP(4,AA50:AK53,6,FALSE) &amp; " - " &amp; VLOOKUP(4,AA50:AK53,7,FALSE)</f>
        <v>1 - 5</v>
      </c>
      <c r="P54" s="70">
        <f>L54*3+M54</f>
        <v>0</v>
      </c>
      <c r="R54" s="147">
        <f>DATE(2018,6,28)+TIME(3,0,0)+gmt_delta</f>
        <v>43279.583333333336</v>
      </c>
      <c r="S54" s="152" t="str">
        <f t="shared" si="2"/>
        <v/>
      </c>
      <c r="T54" s="152" t="str">
        <f t="shared" si="3"/>
        <v/>
      </c>
      <c r="U54" s="148">
        <f t="shared" si="4"/>
        <v>0</v>
      </c>
      <c r="V54" s="147">
        <f t="shared" si="5"/>
        <v>0</v>
      </c>
      <c r="W54" s="147">
        <f t="shared" si="6"/>
        <v>0</v>
      </c>
      <c r="X54" s="147">
        <f t="shared" si="7"/>
        <v>0</v>
      </c>
      <c r="Y54" s="147" t="str">
        <f t="shared" si="9"/>
        <v/>
      </c>
      <c r="AC54" s="147">
        <f t="shared" ref="AC54:AL54" si="33">MAX(AC50:AC53)-MIN(AC50:AC53)+1</f>
        <v>2</v>
      </c>
      <c r="AD54" s="147">
        <f t="shared" si="33"/>
        <v>2</v>
      </c>
      <c r="AE54" s="147">
        <f t="shared" si="33"/>
        <v>3</v>
      </c>
      <c r="AF54" s="147">
        <f t="shared" si="33"/>
        <v>4</v>
      </c>
      <c r="AG54" s="147">
        <f t="shared" si="33"/>
        <v>4</v>
      </c>
      <c r="AH54" s="147">
        <f>MAX(AH50:AH53)-AH55+1</f>
        <v>40504</v>
      </c>
      <c r="AI54" s="147">
        <f>MAX(AI50:AI53)-AI55+1</f>
        <v>7</v>
      </c>
      <c r="AK54" s="147">
        <f t="shared" si="33"/>
        <v>5</v>
      </c>
      <c r="AL54" s="147">
        <f t="shared" si="33"/>
        <v>51.666666666666664</v>
      </c>
      <c r="AM54" s="147"/>
      <c r="AN54" s="147"/>
      <c r="AO54" s="147"/>
      <c r="AP54" s="147"/>
      <c r="AS54" s="147">
        <f>MAX(AS50:AS53)-MIN(AS50:AS53)+1</f>
        <v>1</v>
      </c>
      <c r="AT54" s="147">
        <f>MAX(AT50:AT53)-MIN(AT50:AT53)+1</f>
        <v>2</v>
      </c>
      <c r="AU54" s="147">
        <f>MAX(AU50:AU53)-MIN(AU50:AU53)+1</f>
        <v>3</v>
      </c>
      <c r="AV54" s="147">
        <f>MAX(AV50:AV53)-MIN(AV50:AV53)+1</f>
        <v>3</v>
      </c>
      <c r="AW54" s="147">
        <f>MAX(AW50:AW53)-MIN(AW50:AW53)+1</f>
        <v>1</v>
      </c>
    </row>
    <row r="55" spans="1:58" x14ac:dyDescent="0.25">
      <c r="A55" s="53"/>
      <c r="B55" s="54"/>
      <c r="C55" s="53"/>
      <c r="D55" s="55"/>
      <c r="E55" s="56"/>
      <c r="F55" s="57"/>
      <c r="G55" s="57"/>
      <c r="H55" s="58"/>
      <c r="I55" s="59"/>
      <c r="J55" s="60"/>
      <c r="K55" s="53"/>
      <c r="L55" s="53"/>
      <c r="M55" s="53"/>
      <c r="N55" s="53"/>
      <c r="O55" s="53"/>
      <c r="P55" s="53"/>
      <c r="AH55" s="147">
        <f>MIN(AH50:AH53)</f>
        <v>-399</v>
      </c>
      <c r="AI55" s="147">
        <f>MIN(AI50:AI53)</f>
        <v>-4</v>
      </c>
    </row>
    <row r="56" spans="1:58" ht="12.75" customHeight="1" x14ac:dyDescent="0.25"/>
    <row r="57" spans="1:58" ht="12.75" customHeight="1" x14ac:dyDescent="0.25"/>
    <row r="58" spans="1:58" x14ac:dyDescent="0.25">
      <c r="R58" s="147">
        <f>DATE(2018,6,30)+TIME(7,0,0)+gmt_delta</f>
        <v>43281.75</v>
      </c>
      <c r="S58" s="152" t="str">
        <f>IF(OR(BD10="",BD11=""),"",IF(BD10&gt;BD11,BC10,IF(BD10&lt;BD11,BC11,IF(OR(BE10="",BE11=""),"draw",IF(BE10&gt;BE11,BC10,IF(BE10&lt;BE11,BC11,IF(OR(BF10="",BF11=""),"draw",IF(BF10&gt;BF11,BC10,IF(BF10&lt;BF11,BC11,"draw")))))))))</f>
        <v/>
      </c>
      <c r="T58" s="152" t="str">
        <f>IF(OR(S58="",S58="draw"),INDEX(T,86,lang),S58)</f>
        <v>W49</v>
      </c>
    </row>
    <row r="59" spans="1:58" ht="12.75" customHeight="1" x14ac:dyDescent="0.25">
      <c r="R59" s="147">
        <f>DATE(2018,6,30)+TIME(3,0,0)+gmt_delta</f>
        <v>43281.583333333336</v>
      </c>
      <c r="S59" s="152" t="str">
        <f>IF(OR(BD14="",BD15=""),"",IF(BD14&gt;BD15,BC14,IF(BD14&lt;BD15,BC15,IF(OR(BE14="",BE15=""),"draw",IF(BE14&gt;BE15,BC14,IF(BE14&lt;BE15,BC15,IF(OR(BF14="",BF15=""),"draw",IF(BF14&gt;BF15,BC14,IF(BF14&lt;BF15,BC15,"draw")))))))))</f>
        <v/>
      </c>
      <c r="T59" s="152" t="str">
        <f>IF(OR(S59="",S59="draw"),INDEX(T,87,lang),S59)</f>
        <v>W50</v>
      </c>
    </row>
    <row r="60" spans="1:58" ht="12.75" customHeight="1" x14ac:dyDescent="0.25">
      <c r="R60" s="147">
        <f>DATE(2018,7,1)+TIME(3,0,0)+gmt_delta</f>
        <v>43282.583333333336</v>
      </c>
      <c r="S60" s="152" t="str">
        <f>IF(OR(BD26="",BD27=""),"",IF(BD26&gt;BD27,BC26,IF(BD26&lt;BD27,BC27,IF(OR(BE26="",BE27=""),"draw",IF(BE26&gt;BE27,BC26,IF(BE26&lt;BE27,BC27,IF(OR(BF26="",BF27=""),"draw",IF(BF26&gt;BF27,BC26,IF(BF26&lt;BF27,BC27,"draw")))))))))</f>
        <v/>
      </c>
      <c r="T60" s="152" t="str">
        <f>IF(OR(S60="",S60="draw"),INDEX(T,88,lang),S60)</f>
        <v>W51</v>
      </c>
    </row>
    <row r="61" spans="1:58" ht="12.75" customHeight="1" x14ac:dyDescent="0.25">
      <c r="R61" s="147">
        <f>DATE(2018,7,1)+TIME(7,0,0)+gmt_delta</f>
        <v>43282.75</v>
      </c>
      <c r="S61" s="152" t="str">
        <f>IF(OR(BD30="",BD31=""),"",IF(BD30&gt;BD31,BC30,IF(BD30&lt;BD31,BC31,IF(OR(BE30="",BE31=""),"draw",IF(BE30&gt;BE31,BC30,IF(BE30&lt;BE31,BC31,IF(OR(BF30="",BF31=""),"draw",IF(BF30&gt;BF31,BC30,IF(BF30&lt;BF31,BC31,"draw")))))))))</f>
        <v/>
      </c>
      <c r="T61" s="152" t="str">
        <f>IF(OR(S61="",S61="draw"),INDEX(T,89,lang),S61)</f>
        <v>W52</v>
      </c>
    </row>
    <row r="62" spans="1:58" ht="12.75" customHeight="1" x14ac:dyDescent="0.25">
      <c r="R62" s="147">
        <f>DATE(2018,7,2)+TIME(3,0,0)+gmt_delta</f>
        <v>43283.583333333336</v>
      </c>
      <c r="S62" s="152" t="str">
        <f>IF(OR(BD18="",BD19=""),"",IF(BD18&gt;BD19,BC18,IF(BD18&lt;BD19,BC19,IF(OR(BE18="",BE19=""),"draw",IF(BE18&gt;BE19,BC18,IF(BE18&lt;BE19,BC19,IF(OR(BF18="",BF19=""),"draw",IF(BF18&gt;BF19,BC18,IF(BF18&lt;BF19,BC19,"draw")))))))))</f>
        <v/>
      </c>
      <c r="T62" s="152" t="str">
        <f>IF(OR(S62="",S62="draw"),INDEX(T,90,lang),S62)</f>
        <v>W53</v>
      </c>
    </row>
    <row r="63" spans="1:58" ht="12.75" customHeight="1" x14ac:dyDescent="0.25">
      <c r="R63" s="147">
        <f>DATE(2018,7,2)+TIME(7,0,0)+gmt_delta</f>
        <v>43283.75</v>
      </c>
      <c r="S63" s="152" t="str">
        <f>IF(OR(BD22="",BD23=""),"",IF(BD22&gt;BD23,BC22,IF(BD22&lt;BD23,BC23,IF(OR(BE22="",BE23=""),"draw",IF(BE22&gt;BE23,BC22,IF(BE22&lt;BE23,BC23,IF(OR(BF22="",BF23=""),"draw",IF(BF22&gt;BF23,BC22,IF(BF22&lt;BF23,BC23,"draw")))))))))</f>
        <v/>
      </c>
      <c r="T63" s="152" t="str">
        <f>IF(OR(S63="",S63="draw"),INDEX(T,91,lang),S63)</f>
        <v>W54</v>
      </c>
    </row>
    <row r="64" spans="1:58" ht="12.75" customHeight="1" x14ac:dyDescent="0.25">
      <c r="R64" s="147">
        <f>DATE(2018,7,3)+TIME(3,0,0)+gmt_delta</f>
        <v>43284.583333333336</v>
      </c>
      <c r="S64" s="152" t="str">
        <f>IF(OR(BD34="",BD35=""),"",IF(BD34&gt;BD35,BC34,IF(BD34&lt;BD35,BC35,IF(OR(BE34="",BE35=""),"draw",IF(BE34&gt;BE35,BC34,IF(BE34&lt;BE35,BC35,IF(OR(BF34="",BF35=""),"draw",IF(BF34&gt;BF35,BC34,IF(BF34&lt;BF35,BC35,"draw")))))))))</f>
        <v/>
      </c>
      <c r="T64" s="152" t="str">
        <f>IF(OR(S64="",S64="draw"),INDEX(T,92,lang),S64)</f>
        <v>W55</v>
      </c>
    </row>
    <row r="65" spans="18:26" ht="12.75" customHeight="1" x14ac:dyDescent="0.25">
      <c r="R65" s="147">
        <f>DATE(2018,7,3)+TIME(7,0,0)+gmt_delta</f>
        <v>43284.75</v>
      </c>
      <c r="S65" s="152" t="str">
        <f>IF(OR(BD38="",BD39=""),"",IF(BD38&gt;BD39,BC38,IF(BD38&lt;BD39,BC39,IF(OR(BE38="",BE39=""),"draw",IF(BE38&gt;BE39,BC38,IF(BE38&lt;BE39,BC39,IF(OR(BF38="",BF39=""),"draw",IF(BF38&gt;BF39,BC38,IF(BF38&lt;BF39,BC39,"draw")))))))))</f>
        <v/>
      </c>
      <c r="T65" s="152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47">
        <f>DATE(2018,7,6)+TIME(3,0,0)+gmt_delta</f>
        <v>43287.583333333336</v>
      </c>
      <c r="S69" s="152" t="str">
        <f>IF(OR(BK12="",BK13=""),"",IF(BK12&gt;BK13,BJ12,IF(BK12&lt;BK13,BJ13,IF(OR(BL12="",BL13=""),"draw",IF(BL12&gt;BL13,BJ12,IF(BL12&lt;BL13,BJ13,IF(OR(BM12="",BM13=""),"draw",IF(BM12&gt;BM13,BJ12,IF(BM12&lt;BM13,BJ13,"draw")))))))))</f>
        <v/>
      </c>
      <c r="T69" s="152" t="str">
        <f>IF(OR(S69="",S69="draw"),INDEX(T,94,lang),S69)</f>
        <v>W57</v>
      </c>
    </row>
    <row r="70" spans="18:26" ht="12.75" customHeight="1" x14ac:dyDescent="0.25">
      <c r="R70" s="147">
        <f>DATE(2018,7,6)+TIME(7,0,0)+gmt_delta</f>
        <v>43287.75</v>
      </c>
      <c r="S70" s="152" t="str">
        <f>IF(OR(BK20="",BK21=""),"",IF(BK20&gt;BK21,BJ20,IF(BK20&lt;BK21,BJ21,IF(OR(BL20="",BL21=""),"draw",IF(BL20&gt;BL21,BJ20,IF(BL20&lt;BL21,BJ21,IF(OR(BM20="",BM21=""),"draw",IF(BM20&gt;BM21,BJ20,IF(BM20&lt;BM21,BJ21,"draw")))))))))</f>
        <v/>
      </c>
      <c r="T70" s="152" t="str">
        <f>IF(OR(S70="",S70="draw"),INDEX(T,95,lang),S70)</f>
        <v>W58</v>
      </c>
    </row>
    <row r="71" spans="18:26" ht="12.75" customHeight="1" x14ac:dyDescent="0.25">
      <c r="R71" s="147">
        <f>DATE(2018,7,7)+TIME(7,0,0)+gmt_delta</f>
        <v>43288.75</v>
      </c>
      <c r="S71" s="152" t="str">
        <f>IF(OR(BK28="",BK29=""),"",IF(BK28&gt;BK29,BJ28,IF(BK28&lt;BK29,BJ29,IF(OR(BL28="",BL29=""),"draw",IF(BL28&gt;BL29,BJ28,IF(BL28&lt;BL29,BJ29,IF(OR(BM28="",BM29=""),"draw",IF(BM28&gt;BM29,BJ28,IF(BM28&lt;BM29,BJ29,"draw")))))))))</f>
        <v/>
      </c>
      <c r="T71" s="152" t="str">
        <f>IF(OR(S71="",S71="draw"),INDEX(T,96,lang),S71)</f>
        <v>W59</v>
      </c>
    </row>
    <row r="72" spans="18:26" ht="12.75" customHeight="1" x14ac:dyDescent="0.25">
      <c r="R72" s="147">
        <f>DATE(2018,7,7)+TIME(3,0,0)+gmt_delta</f>
        <v>43288.583333333336</v>
      </c>
      <c r="S72" s="152" t="str">
        <f>IF(OR(BK36="",BK37=""),"",IF(BK36&gt;BK37,BJ36,IF(BK36&lt;BK37,BJ37,IF(OR(BL36="",BL37=""),"draw",IF(BL36&gt;BL37,BJ36,IF(BL36&lt;BL37,BJ37,IF(OR(BM36="",BM37=""),"draw",IF(BM36&gt;BM37,BJ36,IF(BM36&lt;BM37,BJ37,"draw")))))))))</f>
        <v/>
      </c>
      <c r="T72" s="152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47">
        <f>DATE(2018,7,10)+TIME(7,0,0)+gmt_delta</f>
        <v>43291.75</v>
      </c>
      <c r="S76" s="152" t="str">
        <f>IF(OR(BR16="",BR17=""),"",IF(BR16&gt;BR17,BQ16,IF(BR16&lt;BR17,BQ17,IF(OR(BS16="",BS17=""),"draw",IF(BS16&gt;BS17,BQ16,IF(BS16&lt;BS17,BQ17,IF(OR(BT16="",BT17=""),"draw",IF(BT16&gt;BT17,BQ16,IF(BT16&lt;BT17,BQ17,"draw")))))))))</f>
        <v/>
      </c>
      <c r="T76" s="152" t="str">
        <f>IF(OR(S76="",S76="draw"),INDEX(T,98,lang),S76)</f>
        <v>W61</v>
      </c>
      <c r="U76" s="152" t="str">
        <f>IF(OR(BR16="",BR17=""),"",IF(BR16&lt;BR17,BQ16,IF(BR16&gt;BR17,BQ17,IF(OR(BS16="",BS17=""),"draw",IF(BS16&lt;BS17,BQ16,IF(BS16&gt;BS17,BQ17,IF(OR(BT16="",BT17=""),"draw",IF(BT16&lt;BT17,BQ16,IF(BT16&gt;BT17,BQ17,"draw")))))))))</f>
        <v/>
      </c>
      <c r="Z76" s="152" t="str">
        <f>IF(OR(U76="",U76="draw"),INDEX(T,100,lang),U76)</f>
        <v>L61</v>
      </c>
    </row>
    <row r="77" spans="18:26" ht="12.75" customHeight="1" x14ac:dyDescent="0.25">
      <c r="R77" s="147">
        <f>DATE(2018,7,11)+TIME(7,0,0)+gmt_delta</f>
        <v>43292.75</v>
      </c>
      <c r="S77" s="152" t="str">
        <f>IF(OR(BR32="",BR33=""),"",IF(BR32&gt;BR33,BQ32,IF(BR32&lt;BR33,BQ33,IF(OR(BS32="",BS33=""),"draw",IF(BS32&gt;BS33,BQ32,IF(BS32&lt;BS33,BQ33,IF(OR(BT32="",BT33=""),"draw",IF(BT32&gt;BT33,BQ32,IF(BT32&lt;BT33,BQ33,"draw")))))))))</f>
        <v/>
      </c>
      <c r="T77" s="152" t="str">
        <f>IF(OR(S77="",S77="draw"),INDEX(T,99,lang),S77)</f>
        <v>W62</v>
      </c>
      <c r="U77" s="152" t="str">
        <f>IF(OR(BR32="",BR33=""),"",IF(BR32&lt;BR33,BQ32,IF(BR32&gt;BR33,BQ33,IF(OR(BS32="",BS33=""),"draw",IF(BS32&lt;BS33,BQ32,IF(BS32&gt;BS33,BQ33,IF(OR(BT32="",BT33=""),"draw",IF(BT32&lt;BT33,BQ32,IF(BT32&gt;BT33,BQ33,"draw")))))))))</f>
        <v/>
      </c>
      <c r="Z77" s="152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147">
        <f>DATE(2018,7,14)+TIME(3,0,0)+gmt_delta</f>
        <v>43295.583333333336</v>
      </c>
      <c r="T81" s="152" t="str">
        <f>IF(OR(BY35="",BY36=""),"",IF(BY35&gt;BY36,BX35,IF(BY35&lt;BY36,BX36,IF(OR(BZ35="",BZ36=""),"",IF(BZ35&gt;BZ36,BX35,IF(BZ35&lt;BZ36,BX36,IF(OR(CA35="",CA36=""),"",IF(CA35&gt;CA36,BX35,IF(CA35&lt;CA36,BX36,"")))))))))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147">
        <f>DATE(2018,7,15)+TIME(4,0,0)+gmt_delta</f>
        <v>43296.625</v>
      </c>
      <c r="S85" s="152" t="str">
        <f>IF(OR(BY23="",BY24=""),"",IF(BY23&gt;BY24,BX23,IF(BY23&lt;BY24,BX24,IF(OR(BZ23="",BZ24=""),"",IF(BZ23&gt;BZ24,BX23,IF(BZ23&lt;BZ24,BX24,IF(OR(CA23="",CA24=""),"",IF(CA23&gt;CA24,BX23,IF(CA23&lt;CA24,BX24,"")))))))))</f>
        <v/>
      </c>
      <c r="T85" s="152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vGy7tfgNF+LQYUz/y1sllFN7upYEDbT6a7whpBRlO0wcZnEmOFaRTNIlFMR//q/21PrdL4BJIvFyIXko3KhKPA==" saltValue="6fdwo3QidqzBFmJPM6Ojlg==" spinCount="100000" sheet="1" objects="1" scenarios="1"/>
  <mergeCells count="28">
    <mergeCell ref="BB46:BF52"/>
    <mergeCell ref="BB38:BB39"/>
    <mergeCell ref="BO41:BT42"/>
    <mergeCell ref="BB34:BB35"/>
    <mergeCell ref="BW35:BW36"/>
    <mergeCell ref="BI36:BI37"/>
    <mergeCell ref="BU41:CA42"/>
    <mergeCell ref="BB30:BB31"/>
    <mergeCell ref="BW31:CA32"/>
    <mergeCell ref="BP32:BP33"/>
    <mergeCell ref="BB26:BB27"/>
    <mergeCell ref="BI28:BI29"/>
    <mergeCell ref="BB22:BB23"/>
    <mergeCell ref="BW23:BW24"/>
    <mergeCell ref="BB18:BB19"/>
    <mergeCell ref="BI20:BI21"/>
    <mergeCell ref="BB14:BB15"/>
    <mergeCell ref="BP16:BP17"/>
    <mergeCell ref="BB10:BB11"/>
    <mergeCell ref="BI12:BI13"/>
    <mergeCell ref="BB6:BF7"/>
    <mergeCell ref="BI6:BM7"/>
    <mergeCell ref="BP6:BT7"/>
    <mergeCell ref="BW6:CA7"/>
    <mergeCell ref="A1:P1"/>
    <mergeCell ref="O3:P3"/>
    <mergeCell ref="A5:H6"/>
    <mergeCell ref="J5:P6"/>
  </mergeCells>
  <conditionalFormatting sqref="F45:F55">
    <cfRule type="expression" dxfId="181" priority="120" stopIfTrue="1">
      <formula>IF(AND($F45&gt;$G45,ISNUMBER($F45),ISNUMBER($G45)),1,0)</formula>
    </cfRule>
  </conditionalFormatting>
  <conditionalFormatting sqref="G45:G55">
    <cfRule type="expression" dxfId="180" priority="121" stopIfTrue="1">
      <formula>IF(AND($F45&lt;$G45,ISNUMBER($F45),ISNUMBER($G45)),1,0)</formula>
    </cfRule>
  </conditionalFormatting>
  <conditionalFormatting sqref="J15:P15 J9:P9 J45:P45 J21:P21 J27:P27 J33:P33 J39:P39 J51:P51">
    <cfRule type="expression" dxfId="179" priority="122" stopIfTrue="1">
      <formula>IF(SUM($K9:$K12)=12,1,0)</formula>
    </cfRule>
  </conditionalFormatting>
  <conditionalFormatting sqref="J16:P16 J10:P10 J46:P46 J22:P22 J28:P28 J34:P34 J40:P40 J52:P52">
    <cfRule type="expression" dxfId="178" priority="123" stopIfTrue="1">
      <formula>IF(SUM($K9:$K12)=12,1,0)</formula>
    </cfRule>
  </conditionalFormatting>
  <conditionalFormatting sqref="J18:P18 J12:P12 J48:P48 J24:P24 J30:P30 J36:P36 J42:P42 J54:P55">
    <cfRule type="expression" dxfId="177" priority="124" stopIfTrue="1">
      <formula>IF(SUM($K9:$K12)=12,1,0)</formula>
    </cfRule>
  </conditionalFormatting>
  <conditionalFormatting sqref="J11:P11 J17:P17 J23:P23 J29:P29 J35:P35 J41:P41 J47:P47 J53:P53">
    <cfRule type="expression" dxfId="176" priority="125" stopIfTrue="1">
      <formula>IF(SUM($K9:$K12)=12,1,0)</formula>
    </cfRule>
  </conditionalFormatting>
  <conditionalFormatting sqref="BD10">
    <cfRule type="expression" dxfId="175" priority="132" stopIfTrue="1">
      <formula>IF(AND($BD10&gt;$BD11,ISNUMBER($BD10),ISNUMBER($BD11)),1,0)</formula>
    </cfRule>
  </conditionalFormatting>
  <conditionalFormatting sqref="BD11">
    <cfRule type="expression" dxfId="174" priority="133" stopIfTrue="1">
      <formula>IF(AND($BD10&lt;$BD11,ISNUMBER($BD10),ISNUMBER($BD11)),1,0)</formula>
    </cfRule>
  </conditionalFormatting>
  <conditionalFormatting sqref="BF10">
    <cfRule type="expression" dxfId="173" priority="134" stopIfTrue="1">
      <formula>IF(AND($BF10&gt;$BF11,ISNUMBER($BF10),ISNUMBER($BF11)),1,0)</formula>
    </cfRule>
  </conditionalFormatting>
  <conditionalFormatting sqref="BF11">
    <cfRule type="expression" dxfId="172" priority="135" stopIfTrue="1">
      <formula>IF(AND($BF10&lt;$BF11,ISNUMBER($BF10),ISNUMBER($BF11)),1,0)</formula>
    </cfRule>
  </conditionalFormatting>
  <conditionalFormatting sqref="BC10">
    <cfRule type="expression" dxfId="171" priority="148" stopIfTrue="1">
      <formula>IF($BC10=$T58,1,0)</formula>
    </cfRule>
    <cfRule type="expression" dxfId="170" priority="149" stopIfTrue="1">
      <formula>IF($BC11=$T58,1,0)</formula>
    </cfRule>
  </conditionalFormatting>
  <conditionalFormatting sqref="BC11">
    <cfRule type="expression" dxfId="169" priority="150" stopIfTrue="1">
      <formula>IF($BC11=$T58,1,0)</formula>
    </cfRule>
    <cfRule type="expression" dxfId="168" priority="151" stopIfTrue="1">
      <formula>IF($BC10=$T58,1,0)</formula>
    </cfRule>
  </conditionalFormatting>
  <conditionalFormatting sqref="BC14">
    <cfRule type="expression" dxfId="167" priority="152" stopIfTrue="1">
      <formula>IF($BC14=$T59,1,0)</formula>
    </cfRule>
    <cfRule type="expression" dxfId="166" priority="153" stopIfTrue="1">
      <formula>IF($BC15=$T59,1,0)</formula>
    </cfRule>
  </conditionalFormatting>
  <conditionalFormatting sqref="BC15">
    <cfRule type="expression" dxfId="165" priority="154" stopIfTrue="1">
      <formula>IF($BC15=$T59,1,0)</formula>
    </cfRule>
    <cfRule type="expression" dxfId="164" priority="155" stopIfTrue="1">
      <formula>IF($BC14=$T59,1,0)</formula>
    </cfRule>
  </conditionalFormatting>
  <conditionalFormatting sqref="BC34">
    <cfRule type="expression" dxfId="163" priority="156" stopIfTrue="1">
      <formula>IF($BC34=$T64,1,0)</formula>
    </cfRule>
    <cfRule type="expression" dxfId="162" priority="157" stopIfTrue="1">
      <formula>IF($BC35=$T64,1,0)</formula>
    </cfRule>
  </conditionalFormatting>
  <conditionalFormatting sqref="BC35">
    <cfRule type="expression" dxfId="161" priority="158" stopIfTrue="1">
      <formula>IF($BC35=$T64,1,0)</formula>
    </cfRule>
    <cfRule type="expression" dxfId="160" priority="159" stopIfTrue="1">
      <formula>IF($BC34=$T64,1,0)</formula>
    </cfRule>
  </conditionalFormatting>
  <conditionalFormatting sqref="BC38">
    <cfRule type="expression" dxfId="159" priority="160" stopIfTrue="1">
      <formula>IF($BC38=$T65,1,0)</formula>
    </cfRule>
    <cfRule type="expression" dxfId="158" priority="161" stopIfTrue="1">
      <formula>IF($BC39=$T65,1,0)</formula>
    </cfRule>
  </conditionalFormatting>
  <conditionalFormatting sqref="BC39">
    <cfRule type="expression" dxfId="157" priority="162" stopIfTrue="1">
      <formula>IF($BC39=$T65,1,0)</formula>
    </cfRule>
    <cfRule type="expression" dxfId="156" priority="163" stopIfTrue="1">
      <formula>IF($BC38=$T65,1,0)</formula>
    </cfRule>
  </conditionalFormatting>
  <conditionalFormatting sqref="BC26">
    <cfRule type="expression" dxfId="155" priority="164" stopIfTrue="1">
      <formula>IF($BC26=$T60,1,0)</formula>
    </cfRule>
    <cfRule type="expression" dxfId="154" priority="165" stopIfTrue="1">
      <formula>IF($BC27=$T60,1,0)</formula>
    </cfRule>
  </conditionalFormatting>
  <conditionalFormatting sqref="BC27">
    <cfRule type="expression" dxfId="153" priority="166" stopIfTrue="1">
      <formula>IF($BC27=$T60,1,0)</formula>
    </cfRule>
    <cfRule type="expression" dxfId="152" priority="167" stopIfTrue="1">
      <formula>IF($BC26=$T60,1,0)</formula>
    </cfRule>
  </conditionalFormatting>
  <conditionalFormatting sqref="BC30">
    <cfRule type="expression" dxfId="151" priority="168" stopIfTrue="1">
      <formula>IF($BC30=$T61,1,0)</formula>
    </cfRule>
    <cfRule type="expression" dxfId="150" priority="169" stopIfTrue="1">
      <formula>IF($BC31=$T61,1,0)</formula>
    </cfRule>
  </conditionalFormatting>
  <conditionalFormatting sqref="BC31">
    <cfRule type="expression" dxfId="149" priority="170" stopIfTrue="1">
      <formula>IF($BC31=$T61,1,0)</formula>
    </cfRule>
    <cfRule type="expression" dxfId="148" priority="171" stopIfTrue="1">
      <formula>IF($BC30=$T61,1,0)</formula>
    </cfRule>
  </conditionalFormatting>
  <conditionalFormatting sqref="BC18">
    <cfRule type="expression" dxfId="147" priority="172" stopIfTrue="1">
      <formula>IF($BC18=$T62,1,0)</formula>
    </cfRule>
    <cfRule type="expression" dxfId="146" priority="173" stopIfTrue="1">
      <formula>IF($BC19=$T62,1,0)</formula>
    </cfRule>
  </conditionalFormatting>
  <conditionalFormatting sqref="BC19">
    <cfRule type="expression" dxfId="145" priority="174" stopIfTrue="1">
      <formula>IF($BC19=$T62,1,0)</formula>
    </cfRule>
    <cfRule type="expression" dxfId="144" priority="175" stopIfTrue="1">
      <formula>IF($BC18=$T62,1,0)</formula>
    </cfRule>
  </conditionalFormatting>
  <conditionalFormatting sqref="BC22">
    <cfRule type="expression" dxfId="143" priority="176" stopIfTrue="1">
      <formula>IF($BC22=$T63,1,0)</formula>
    </cfRule>
    <cfRule type="expression" dxfId="142" priority="177" stopIfTrue="1">
      <formula>IF($BC23=$T63,1,0)</formula>
    </cfRule>
  </conditionalFormatting>
  <conditionalFormatting sqref="BC23">
    <cfRule type="expression" dxfId="141" priority="178" stopIfTrue="1">
      <formula>IF($BC23=$T63,1,0)</formula>
    </cfRule>
    <cfRule type="expression" dxfId="140" priority="179" stopIfTrue="1">
      <formula>IF($BC22=$T63,1,0)</formula>
    </cfRule>
  </conditionalFormatting>
  <conditionalFormatting sqref="BJ12">
    <cfRule type="expression" dxfId="139" priority="180" stopIfTrue="1">
      <formula>IF($BJ12=$T69,1,0)</formula>
    </cfRule>
    <cfRule type="expression" dxfId="138" priority="181" stopIfTrue="1">
      <formula>IF($BJ13=$T69,1,0)</formula>
    </cfRule>
  </conditionalFormatting>
  <conditionalFormatting sqref="BJ13">
    <cfRule type="expression" dxfId="137" priority="182" stopIfTrue="1">
      <formula>IF($BJ13=$T69,1,0)</formula>
    </cfRule>
    <cfRule type="expression" dxfId="136" priority="183" stopIfTrue="1">
      <formula>IF($BJ12=$T69,1,0)</formula>
    </cfRule>
  </conditionalFormatting>
  <conditionalFormatting sqref="BJ20">
    <cfRule type="expression" dxfId="135" priority="184" stopIfTrue="1">
      <formula>IF($BJ20=$T70,1,0)</formula>
    </cfRule>
    <cfRule type="expression" dxfId="134" priority="185" stopIfTrue="1">
      <formula>IF($BJ21=$T70,1,0)</formula>
    </cfRule>
  </conditionalFormatting>
  <conditionalFormatting sqref="BJ21">
    <cfRule type="expression" dxfId="133" priority="186" stopIfTrue="1">
      <formula>IF($BJ21=$T70,1,0)</formula>
    </cfRule>
    <cfRule type="expression" dxfId="132" priority="187" stopIfTrue="1">
      <formula>IF($BJ20=$T70,1,0)</formula>
    </cfRule>
  </conditionalFormatting>
  <conditionalFormatting sqref="BJ28">
    <cfRule type="expression" dxfId="131" priority="188" stopIfTrue="1">
      <formula>IF($BJ28=$T71,1,0)</formula>
    </cfRule>
    <cfRule type="expression" dxfId="130" priority="189" stopIfTrue="1">
      <formula>IF($BJ29=$T71,1,0)</formula>
    </cfRule>
  </conditionalFormatting>
  <conditionalFormatting sqref="BJ29">
    <cfRule type="expression" dxfId="129" priority="190" stopIfTrue="1">
      <formula>IF($BJ29=$T71,1,0)</formula>
    </cfRule>
    <cfRule type="expression" dxfId="128" priority="191" stopIfTrue="1">
      <formula>IF($BJ28=$T71,1,0)</formula>
    </cfRule>
  </conditionalFormatting>
  <conditionalFormatting sqref="BJ36">
    <cfRule type="expression" dxfId="127" priority="192" stopIfTrue="1">
      <formula>IF($BJ36=$T72,1,0)</formula>
    </cfRule>
    <cfRule type="expression" dxfId="126" priority="193" stopIfTrue="1">
      <formula>IF($BJ37=$T72,1,0)</formula>
    </cfRule>
  </conditionalFormatting>
  <conditionalFormatting sqref="BJ37">
    <cfRule type="expression" dxfId="125" priority="194" stopIfTrue="1">
      <formula>IF($BJ37=$T72,1,0)</formula>
    </cfRule>
    <cfRule type="expression" dxfId="124" priority="195" stopIfTrue="1">
      <formula>IF($BJ36=$T72,1,0)</formula>
    </cfRule>
  </conditionalFormatting>
  <conditionalFormatting sqref="BQ16">
    <cfRule type="expression" dxfId="123" priority="196" stopIfTrue="1">
      <formula>IF($BQ16=$T76,1,0)</formula>
    </cfRule>
    <cfRule type="expression" dxfId="122" priority="197" stopIfTrue="1">
      <formula>IF($BQ17=$T76,1,0)</formula>
    </cfRule>
  </conditionalFormatting>
  <conditionalFormatting sqref="BQ17">
    <cfRule type="expression" dxfId="121" priority="198" stopIfTrue="1">
      <formula>IF($BQ17=$T76,1,0)</formula>
    </cfRule>
    <cfRule type="expression" dxfId="120" priority="199" stopIfTrue="1">
      <formula>IF($BQ16=$T76,1,0)</formula>
    </cfRule>
  </conditionalFormatting>
  <conditionalFormatting sqref="BQ32">
    <cfRule type="expression" dxfId="119" priority="200" stopIfTrue="1">
      <formula>IF($BQ32=$T77,1,0)</formula>
    </cfRule>
    <cfRule type="expression" dxfId="118" priority="201" stopIfTrue="1">
      <formula>IF($BQ33=$T77,1,0)</formula>
    </cfRule>
  </conditionalFormatting>
  <conditionalFormatting sqref="BQ33">
    <cfRule type="expression" dxfId="117" priority="202" stopIfTrue="1">
      <formula>IF($BQ33=$T77,1,0)</formula>
    </cfRule>
    <cfRule type="expression" dxfId="116" priority="203" stopIfTrue="1">
      <formula>IF($BQ32=$T77,1,0)</formula>
    </cfRule>
  </conditionalFormatting>
  <conditionalFormatting sqref="BX23">
    <cfRule type="expression" dxfId="115" priority="204" stopIfTrue="1">
      <formula>IF($BX23=$T85,1,0)</formula>
    </cfRule>
    <cfRule type="expression" dxfId="114" priority="205" stopIfTrue="1">
      <formula>IF($BX24=$T85,1,0)</formula>
    </cfRule>
  </conditionalFormatting>
  <conditionalFormatting sqref="BX24">
    <cfRule type="expression" dxfId="113" priority="206" stopIfTrue="1">
      <formula>IF($BX24=$T85,1,0)</formula>
    </cfRule>
    <cfRule type="expression" dxfId="112" priority="207" stopIfTrue="1">
      <formula>IF($BX23=$T85,1,0)</formula>
    </cfRule>
  </conditionalFormatting>
  <conditionalFormatting sqref="BX35">
    <cfRule type="expression" dxfId="111" priority="208" stopIfTrue="1">
      <formula>IF($BX35=$T81,1,0)</formula>
    </cfRule>
    <cfRule type="expression" dxfId="110" priority="209" stopIfTrue="1">
      <formula>IF($BX36=$T81,1,0)</formula>
    </cfRule>
  </conditionalFormatting>
  <conditionalFormatting sqref="BX36">
    <cfRule type="expression" dxfId="109" priority="210" stopIfTrue="1">
      <formula>IF($BX36=$T81,1,0)</formula>
    </cfRule>
    <cfRule type="expression" dxfId="108" priority="211" stopIfTrue="1">
      <formula>IF($BX35=$T81,1,0)</formula>
    </cfRule>
  </conditionalFormatting>
  <conditionalFormatting sqref="E7:E54">
    <cfRule type="expression" dxfId="107" priority="112">
      <formula>IF(AND(X7=0,Y7=-1),1,0)</formula>
    </cfRule>
    <cfRule type="expression" dxfId="106" priority="113">
      <formula>IF(AND(X7=1,Y7=-1),1,0)</formula>
    </cfRule>
    <cfRule type="expression" dxfId="105" priority="114">
      <formula>IF(AND(X7=0,Y7=1),1,0)</formula>
    </cfRule>
    <cfRule type="expression" dxfId="104" priority="115">
      <formula>IF(AND(X7=1,Y7=1),1,0)</formula>
    </cfRule>
    <cfRule type="expression" dxfId="103" priority="116">
      <formula>IF(AND(X7=0,Y7=0),1,0)</formula>
    </cfRule>
    <cfRule type="expression" dxfId="102" priority="117">
      <formula>IF(AND(X7=1,Y7=0),1,0)</formula>
    </cfRule>
  </conditionalFormatting>
  <conditionalFormatting sqref="H7:H54">
    <cfRule type="expression" dxfId="101" priority="106">
      <formula>IF(AND(X7=0,Y7=-1),1,0)</formula>
    </cfRule>
    <cfRule type="expression" dxfId="100" priority="107">
      <formula>IF(AND(X7=1,Y7=-1),1,0)</formula>
    </cfRule>
    <cfRule type="expression" dxfId="99" priority="108">
      <formula>IF(AND(X7=0,Y7=1),1,0)</formula>
    </cfRule>
    <cfRule type="expression" dxfId="98" priority="109">
      <formula>IF(AND(X7=1,Y7=1),1,0)</formula>
    </cfRule>
    <cfRule type="expression" dxfId="97" priority="110">
      <formula>IF(AND(X7=0,Y7=0),1,0)</formula>
    </cfRule>
    <cfRule type="expression" dxfId="96" priority="111">
      <formula>IF(AND(X7=1,Y7=0),1,0)</formula>
    </cfRule>
    <cfRule type="expression" dxfId="95" priority="118">
      <formula>IF(AND(X7=1,Y7=""),1,0)</formula>
    </cfRule>
  </conditionalFormatting>
  <conditionalFormatting sqref="A7:E54">
    <cfRule type="expression" dxfId="94" priority="105">
      <formula>IF($X7=1,1,0)</formula>
    </cfRule>
  </conditionalFormatting>
  <conditionalFormatting sqref="BE10">
    <cfRule type="expression" dxfId="93" priority="104" stopIfTrue="1">
      <formula>IF(AND($BE10&gt;$BE11,ISNUMBER($BE10),ISNUMBER($BE11)),1,0)</formula>
    </cfRule>
  </conditionalFormatting>
  <conditionalFormatting sqref="BE11">
    <cfRule type="expression" dxfId="92" priority="103" stopIfTrue="1">
      <formula>IF(AND($BE10&lt;$BE11,ISNUMBER($BE10),ISNUMBER($BE11)),1,0)</formula>
    </cfRule>
  </conditionalFormatting>
  <conditionalFormatting sqref="BD14">
    <cfRule type="expression" dxfId="91" priority="91" stopIfTrue="1">
      <formula>IF(AND($BD14&gt;$BD15,ISNUMBER($BD14),ISNUMBER($BD15)),1,0)</formula>
    </cfRule>
  </conditionalFormatting>
  <conditionalFormatting sqref="BD15">
    <cfRule type="expression" dxfId="90" priority="92" stopIfTrue="1">
      <formula>IF(AND($BD14&lt;$BD15,ISNUMBER($BD14),ISNUMBER($BD15)),1,0)</formula>
    </cfRule>
  </conditionalFormatting>
  <conditionalFormatting sqref="BF14">
    <cfRule type="expression" dxfId="89" priority="93" stopIfTrue="1">
      <formula>IF(AND($BF14&gt;$BF15,ISNUMBER($BF14),ISNUMBER($BF15)),1,0)</formula>
    </cfRule>
  </conditionalFormatting>
  <conditionalFormatting sqref="BF15">
    <cfRule type="expression" dxfId="88" priority="94" stopIfTrue="1">
      <formula>IF(AND($BF14&lt;$BF15,ISNUMBER($BF14),ISNUMBER($BF15)),1,0)</formula>
    </cfRule>
  </conditionalFormatting>
  <conditionalFormatting sqref="BE14">
    <cfRule type="expression" dxfId="87" priority="90" stopIfTrue="1">
      <formula>IF(AND($BE14&gt;$BE15,ISNUMBER($BE14),ISNUMBER($BE15)),1,0)</formula>
    </cfRule>
  </conditionalFormatting>
  <conditionalFormatting sqref="BE15">
    <cfRule type="expression" dxfId="86" priority="89" stopIfTrue="1">
      <formula>IF(AND($BE14&lt;$BE15,ISNUMBER($BE14),ISNUMBER($BE15)),1,0)</formula>
    </cfRule>
  </conditionalFormatting>
  <conditionalFormatting sqref="BD18">
    <cfRule type="expression" dxfId="85" priority="85" stopIfTrue="1">
      <formula>IF(AND($BD18&gt;$BD19,ISNUMBER($BD18),ISNUMBER($BD19)),1,0)</formula>
    </cfRule>
  </conditionalFormatting>
  <conditionalFormatting sqref="BD19">
    <cfRule type="expression" dxfId="84" priority="86" stopIfTrue="1">
      <formula>IF(AND($BD18&lt;$BD19,ISNUMBER($BD18),ISNUMBER($BD19)),1,0)</formula>
    </cfRule>
  </conditionalFormatting>
  <conditionalFormatting sqref="BF18">
    <cfRule type="expression" dxfId="83" priority="87" stopIfTrue="1">
      <formula>IF(AND($BF18&gt;$BF19,ISNUMBER($BF18),ISNUMBER($BF19)),1,0)</formula>
    </cfRule>
  </conditionalFormatting>
  <conditionalFormatting sqref="BF19">
    <cfRule type="expression" dxfId="82" priority="88" stopIfTrue="1">
      <formula>IF(AND($BF18&lt;$BF19,ISNUMBER($BF18),ISNUMBER($BF19)),1,0)</formula>
    </cfRule>
  </conditionalFormatting>
  <conditionalFormatting sqref="BE18">
    <cfRule type="expression" dxfId="81" priority="84" stopIfTrue="1">
      <formula>IF(AND($BE18&gt;$BE19,ISNUMBER($BE18),ISNUMBER($BE19)),1,0)</formula>
    </cfRule>
  </conditionalFormatting>
  <conditionalFormatting sqref="BE19">
    <cfRule type="expression" dxfId="80" priority="83" stopIfTrue="1">
      <formula>IF(AND($BE18&lt;$BE19,ISNUMBER($BE18),ISNUMBER($BE19)),1,0)</formula>
    </cfRule>
  </conditionalFormatting>
  <conditionalFormatting sqref="BK12">
    <cfRule type="expression" dxfId="79" priority="79" stopIfTrue="1">
      <formula>IF(AND($BD12&gt;$BD13,ISNUMBER($BD12),ISNUMBER($BD13)),1,0)</formula>
    </cfRule>
  </conditionalFormatting>
  <conditionalFormatting sqref="BK13">
    <cfRule type="expression" dxfId="78" priority="80" stopIfTrue="1">
      <formula>IF(AND($BD12&lt;$BD13,ISNUMBER($BD12),ISNUMBER($BD13)),1,0)</formula>
    </cfRule>
  </conditionalFormatting>
  <conditionalFormatting sqref="BM12">
    <cfRule type="expression" dxfId="77" priority="81" stopIfTrue="1">
      <formula>IF(AND($BF12&gt;$BF13,ISNUMBER($BF12),ISNUMBER($BF13)),1,0)</formula>
    </cfRule>
  </conditionalFormatting>
  <conditionalFormatting sqref="BM13">
    <cfRule type="expression" dxfId="76" priority="82" stopIfTrue="1">
      <formula>IF(AND($BF12&lt;$BF13,ISNUMBER($BF12),ISNUMBER($BF13)),1,0)</formula>
    </cfRule>
  </conditionalFormatting>
  <conditionalFormatting sqref="BL12">
    <cfRule type="expression" dxfId="75" priority="78" stopIfTrue="1">
      <formula>IF(AND($BE12&gt;$BE13,ISNUMBER($BE12),ISNUMBER($BE13)),1,0)</formula>
    </cfRule>
  </conditionalFormatting>
  <conditionalFormatting sqref="BL13">
    <cfRule type="expression" dxfId="74" priority="77" stopIfTrue="1">
      <formula>IF(AND($BE12&lt;$BE13,ISNUMBER($BE12),ISNUMBER($BE13)),1,0)</formula>
    </cfRule>
  </conditionalFormatting>
  <conditionalFormatting sqref="BR16">
    <cfRule type="expression" dxfId="73" priority="73" stopIfTrue="1">
      <formula>IF(AND($BD16&gt;$BD17,ISNUMBER($BD16),ISNUMBER($BD17)),1,0)</formula>
    </cfRule>
  </conditionalFormatting>
  <conditionalFormatting sqref="BR17">
    <cfRule type="expression" dxfId="72" priority="74" stopIfTrue="1">
      <formula>IF(AND($BD16&lt;$BD17,ISNUMBER($BD16),ISNUMBER($BD17)),1,0)</formula>
    </cfRule>
  </conditionalFormatting>
  <conditionalFormatting sqref="BT16">
    <cfRule type="expression" dxfId="71" priority="75" stopIfTrue="1">
      <formula>IF(AND($BF16&gt;$BF17,ISNUMBER($BF16),ISNUMBER($BF17)),1,0)</formula>
    </cfRule>
  </conditionalFormatting>
  <conditionalFormatting sqref="BT17">
    <cfRule type="expression" dxfId="70" priority="76" stopIfTrue="1">
      <formula>IF(AND($BF16&lt;$BF17,ISNUMBER($BF16),ISNUMBER($BF17)),1,0)</formula>
    </cfRule>
  </conditionalFormatting>
  <conditionalFormatting sqref="BS16">
    <cfRule type="expression" dxfId="69" priority="72" stopIfTrue="1">
      <formula>IF(AND($BE16&gt;$BE17,ISNUMBER($BE16),ISNUMBER($BE17)),1,0)</formula>
    </cfRule>
  </conditionalFormatting>
  <conditionalFormatting sqref="BS17">
    <cfRule type="expression" dxfId="68" priority="71" stopIfTrue="1">
      <formula>IF(AND($BE16&lt;$BE17,ISNUMBER($BE16),ISNUMBER($BE17)),1,0)</formula>
    </cfRule>
  </conditionalFormatting>
  <conditionalFormatting sqref="BY23">
    <cfRule type="expression" dxfId="67" priority="67" stopIfTrue="1">
      <formula>IF(AND($BD23&gt;$BD24,ISNUMBER($BD23),ISNUMBER($BD24)),1,0)</formula>
    </cfRule>
  </conditionalFormatting>
  <conditionalFormatting sqref="BY24">
    <cfRule type="expression" dxfId="66" priority="68" stopIfTrue="1">
      <formula>IF(AND($BD23&lt;$BD24,ISNUMBER($BD23),ISNUMBER($BD24)),1,0)</formula>
    </cfRule>
  </conditionalFormatting>
  <conditionalFormatting sqref="CA23">
    <cfRule type="expression" dxfId="65" priority="69" stopIfTrue="1">
      <formula>IF(AND($BF23&gt;$BF24,ISNUMBER($BF23),ISNUMBER($BF24)),1,0)</formula>
    </cfRule>
  </conditionalFormatting>
  <conditionalFormatting sqref="CA24">
    <cfRule type="expression" dxfId="64" priority="70" stopIfTrue="1">
      <formula>IF(AND($BF23&lt;$BF24,ISNUMBER($BF23),ISNUMBER($BF24)),1,0)</formula>
    </cfRule>
  </conditionalFormatting>
  <conditionalFormatting sqref="BZ23">
    <cfRule type="expression" dxfId="63" priority="66" stopIfTrue="1">
      <formula>IF(AND($BE23&gt;$BE24,ISNUMBER($BE23),ISNUMBER($BE24)),1,0)</formula>
    </cfRule>
  </conditionalFormatting>
  <conditionalFormatting sqref="BZ24">
    <cfRule type="expression" dxfId="62" priority="65" stopIfTrue="1">
      <formula>IF(AND($BE23&lt;$BE24,ISNUMBER($BE23),ISNUMBER($BE24)),1,0)</formula>
    </cfRule>
  </conditionalFormatting>
  <conditionalFormatting sqref="BK20">
    <cfRule type="expression" dxfId="61" priority="61" stopIfTrue="1">
      <formula>IF(AND($BD20&gt;$BD21,ISNUMBER($BD20),ISNUMBER($BD21)),1,0)</formula>
    </cfRule>
  </conditionalFormatting>
  <conditionalFormatting sqref="BK21">
    <cfRule type="expression" dxfId="60" priority="62" stopIfTrue="1">
      <formula>IF(AND($BD20&lt;$BD21,ISNUMBER($BD20),ISNUMBER($BD21)),1,0)</formula>
    </cfRule>
  </conditionalFormatting>
  <conditionalFormatting sqref="BM20">
    <cfRule type="expression" dxfId="59" priority="63" stopIfTrue="1">
      <formula>IF(AND($BF20&gt;$BF21,ISNUMBER($BF20),ISNUMBER($BF21)),1,0)</formula>
    </cfRule>
  </conditionalFormatting>
  <conditionalFormatting sqref="BM21">
    <cfRule type="expression" dxfId="58" priority="64" stopIfTrue="1">
      <formula>IF(AND($BF20&lt;$BF21,ISNUMBER($BF20),ISNUMBER($BF21)),1,0)</formula>
    </cfRule>
  </conditionalFormatting>
  <conditionalFormatting sqref="BL20">
    <cfRule type="expression" dxfId="57" priority="60" stopIfTrue="1">
      <formula>IF(AND($BE20&gt;$BE21,ISNUMBER($BE20),ISNUMBER($BE21)),1,0)</formula>
    </cfRule>
  </conditionalFormatting>
  <conditionalFormatting sqref="BL21">
    <cfRule type="expression" dxfId="56" priority="59" stopIfTrue="1">
      <formula>IF(AND($BE20&lt;$BE21,ISNUMBER($BE20),ISNUMBER($BE21)),1,0)</formula>
    </cfRule>
  </conditionalFormatting>
  <conditionalFormatting sqref="BK28">
    <cfRule type="expression" dxfId="55" priority="55" stopIfTrue="1">
      <formula>IF(AND($BD28&gt;$BD29,ISNUMBER($BD28),ISNUMBER($BD29)),1,0)</formula>
    </cfRule>
  </conditionalFormatting>
  <conditionalFormatting sqref="BK29">
    <cfRule type="expression" dxfId="54" priority="56" stopIfTrue="1">
      <formula>IF(AND($BD28&lt;$BD29,ISNUMBER($BD28),ISNUMBER($BD29)),1,0)</formula>
    </cfRule>
  </conditionalFormatting>
  <conditionalFormatting sqref="BM28">
    <cfRule type="expression" dxfId="53" priority="57" stopIfTrue="1">
      <formula>IF(AND($BF28&gt;$BF29,ISNUMBER($BF28),ISNUMBER($BF29)),1,0)</formula>
    </cfRule>
  </conditionalFormatting>
  <conditionalFormatting sqref="BM29">
    <cfRule type="expression" dxfId="52" priority="58" stopIfTrue="1">
      <formula>IF(AND($BF28&lt;$BF29,ISNUMBER($BF28),ISNUMBER($BF29)),1,0)</formula>
    </cfRule>
  </conditionalFormatting>
  <conditionalFormatting sqref="BL28">
    <cfRule type="expression" dxfId="51" priority="54" stopIfTrue="1">
      <formula>IF(AND($BE28&gt;$BE29,ISNUMBER($BE28),ISNUMBER($BE29)),1,0)</formula>
    </cfRule>
  </conditionalFormatting>
  <conditionalFormatting sqref="BL29">
    <cfRule type="expression" dxfId="50" priority="53" stopIfTrue="1">
      <formula>IF(AND($BE28&lt;$BE29,ISNUMBER($BE28),ISNUMBER($BE29)),1,0)</formula>
    </cfRule>
  </conditionalFormatting>
  <conditionalFormatting sqref="BD22">
    <cfRule type="expression" dxfId="49" priority="49" stopIfTrue="1">
      <formula>IF(AND($BD22&gt;$BD23,ISNUMBER($BD22),ISNUMBER($BD23)),1,0)</formula>
    </cfRule>
  </conditionalFormatting>
  <conditionalFormatting sqref="BD23">
    <cfRule type="expression" dxfId="48" priority="50" stopIfTrue="1">
      <formula>IF(AND($BD22&lt;$BD23,ISNUMBER($BD22),ISNUMBER($BD23)),1,0)</formula>
    </cfRule>
  </conditionalFormatting>
  <conditionalFormatting sqref="BF22">
    <cfRule type="expression" dxfId="47" priority="51" stopIfTrue="1">
      <formula>IF(AND($BF22&gt;$BF23,ISNUMBER($BF22),ISNUMBER($BF23)),1,0)</formula>
    </cfRule>
  </conditionalFormatting>
  <conditionalFormatting sqref="BF23">
    <cfRule type="expression" dxfId="46" priority="52" stopIfTrue="1">
      <formula>IF(AND($BF22&lt;$BF23,ISNUMBER($BF22),ISNUMBER($BF23)),1,0)</formula>
    </cfRule>
  </conditionalFormatting>
  <conditionalFormatting sqref="BE22">
    <cfRule type="expression" dxfId="45" priority="48" stopIfTrue="1">
      <formula>IF(AND($BE22&gt;$BE23,ISNUMBER($BE22),ISNUMBER($BE23)),1,0)</formula>
    </cfRule>
  </conditionalFormatting>
  <conditionalFormatting sqref="BE23">
    <cfRule type="expression" dxfId="44" priority="47" stopIfTrue="1">
      <formula>IF(AND($BE22&lt;$BE23,ISNUMBER($BE22),ISNUMBER($BE23)),1,0)</formula>
    </cfRule>
  </conditionalFormatting>
  <conditionalFormatting sqref="BD26">
    <cfRule type="expression" dxfId="43" priority="43" stopIfTrue="1">
      <formula>IF(AND($BD26&gt;$BD27,ISNUMBER($BD26),ISNUMBER($BD27)),1,0)</formula>
    </cfRule>
  </conditionalFormatting>
  <conditionalFormatting sqref="BD27">
    <cfRule type="expression" dxfId="42" priority="44" stopIfTrue="1">
      <formula>IF(AND($BD26&lt;$BD27,ISNUMBER($BD26),ISNUMBER($BD27)),1,0)</formula>
    </cfRule>
  </conditionalFormatting>
  <conditionalFormatting sqref="BF26">
    <cfRule type="expression" dxfId="41" priority="45" stopIfTrue="1">
      <formula>IF(AND($BF26&gt;$BF27,ISNUMBER($BF26),ISNUMBER($BF27)),1,0)</formula>
    </cfRule>
  </conditionalFormatting>
  <conditionalFormatting sqref="BF27">
    <cfRule type="expression" dxfId="40" priority="46" stopIfTrue="1">
      <formula>IF(AND($BF26&lt;$BF27,ISNUMBER($BF26),ISNUMBER($BF27)),1,0)</formula>
    </cfRule>
  </conditionalFormatting>
  <conditionalFormatting sqref="BE26">
    <cfRule type="expression" dxfId="39" priority="42" stopIfTrue="1">
      <formula>IF(AND($BE26&gt;$BE27,ISNUMBER($BE26),ISNUMBER($BE27)),1,0)</formula>
    </cfRule>
  </conditionalFormatting>
  <conditionalFormatting sqref="BE27">
    <cfRule type="expression" dxfId="38" priority="41" stopIfTrue="1">
      <formula>IF(AND($BE26&lt;$BE27,ISNUMBER($BE26),ISNUMBER($BE27)),1,0)</formula>
    </cfRule>
  </conditionalFormatting>
  <conditionalFormatting sqref="BY35">
    <cfRule type="expression" dxfId="37" priority="37" stopIfTrue="1">
      <formula>IF(AND($BD35&gt;$BD36,ISNUMBER($BD35),ISNUMBER($BD36)),1,0)</formula>
    </cfRule>
  </conditionalFormatting>
  <conditionalFormatting sqref="BY36">
    <cfRule type="expression" dxfId="36" priority="38" stopIfTrue="1">
      <formula>IF(AND($BD35&lt;$BD36,ISNUMBER($BD35),ISNUMBER($BD36)),1,0)</formula>
    </cfRule>
  </conditionalFormatting>
  <conditionalFormatting sqref="CA35">
    <cfRule type="expression" dxfId="35" priority="39" stopIfTrue="1">
      <formula>IF(AND($BF35&gt;$BF36,ISNUMBER($BF35),ISNUMBER($BF36)),1,0)</formula>
    </cfRule>
  </conditionalFormatting>
  <conditionalFormatting sqref="CA36">
    <cfRule type="expression" dxfId="34" priority="40" stopIfTrue="1">
      <formula>IF(AND($BF35&lt;$BF36,ISNUMBER($BF35),ISNUMBER($BF36)),1,0)</formula>
    </cfRule>
  </conditionalFormatting>
  <conditionalFormatting sqref="BZ35">
    <cfRule type="expression" dxfId="33" priority="36" stopIfTrue="1">
      <formula>IF(AND($BE35&gt;$BE36,ISNUMBER($BE35),ISNUMBER($BE36)),1,0)</formula>
    </cfRule>
  </conditionalFormatting>
  <conditionalFormatting sqref="BZ36">
    <cfRule type="expression" dxfId="32" priority="35" stopIfTrue="1">
      <formula>IF(AND($BE35&lt;$BE36,ISNUMBER($BE35),ISNUMBER($BE36)),1,0)</formula>
    </cfRule>
  </conditionalFormatting>
  <conditionalFormatting sqref="BR32">
    <cfRule type="expression" dxfId="31" priority="31" stopIfTrue="1">
      <formula>IF(AND($BD32&gt;$BD33,ISNUMBER($BD32),ISNUMBER($BD33)),1,0)</formula>
    </cfRule>
  </conditionalFormatting>
  <conditionalFormatting sqref="BR33">
    <cfRule type="expression" dxfId="30" priority="32" stopIfTrue="1">
      <formula>IF(AND($BD32&lt;$BD33,ISNUMBER($BD32),ISNUMBER($BD33)),1,0)</formula>
    </cfRule>
  </conditionalFormatting>
  <conditionalFormatting sqref="BT32">
    <cfRule type="expression" dxfId="29" priority="33" stopIfTrue="1">
      <formula>IF(AND($BF32&gt;$BF33,ISNUMBER($BF32),ISNUMBER($BF33)),1,0)</formula>
    </cfRule>
  </conditionalFormatting>
  <conditionalFormatting sqref="BT33">
    <cfRule type="expression" dxfId="28" priority="34" stopIfTrue="1">
      <formula>IF(AND($BF32&lt;$BF33,ISNUMBER($BF32),ISNUMBER($BF33)),1,0)</formula>
    </cfRule>
  </conditionalFormatting>
  <conditionalFormatting sqref="BS32">
    <cfRule type="expression" dxfId="27" priority="30" stopIfTrue="1">
      <formula>IF(AND($BE32&gt;$BE33,ISNUMBER($BE32),ISNUMBER($BE33)),1,0)</formula>
    </cfRule>
  </conditionalFormatting>
  <conditionalFormatting sqref="BS33">
    <cfRule type="expression" dxfId="26" priority="29" stopIfTrue="1">
      <formula>IF(AND($BE32&lt;$BE33,ISNUMBER($BE32),ISNUMBER($BE33)),1,0)</formula>
    </cfRule>
  </conditionalFormatting>
  <conditionalFormatting sqref="BK36">
    <cfRule type="expression" dxfId="25" priority="25" stopIfTrue="1">
      <formula>IF(AND($BD36&gt;$BD37,ISNUMBER($BD36),ISNUMBER($BD37)),1,0)</formula>
    </cfRule>
  </conditionalFormatting>
  <conditionalFormatting sqref="BK37">
    <cfRule type="expression" dxfId="24" priority="26" stopIfTrue="1">
      <formula>IF(AND($BD36&lt;$BD37,ISNUMBER($BD36),ISNUMBER($BD37)),1,0)</formula>
    </cfRule>
  </conditionalFormatting>
  <conditionalFormatting sqref="BM36">
    <cfRule type="expression" dxfId="23" priority="27" stopIfTrue="1">
      <formula>IF(AND($BF36&gt;$BF37,ISNUMBER($BF36),ISNUMBER($BF37)),1,0)</formula>
    </cfRule>
  </conditionalFormatting>
  <conditionalFormatting sqref="BM37">
    <cfRule type="expression" dxfId="22" priority="28" stopIfTrue="1">
      <formula>IF(AND($BF36&lt;$BF37,ISNUMBER($BF36),ISNUMBER($BF37)),1,0)</formula>
    </cfRule>
  </conditionalFormatting>
  <conditionalFormatting sqref="BL36">
    <cfRule type="expression" dxfId="21" priority="24" stopIfTrue="1">
      <formula>IF(AND($BE36&gt;$BE37,ISNUMBER($BE36),ISNUMBER($BE37)),1,0)</formula>
    </cfRule>
  </conditionalFormatting>
  <conditionalFormatting sqref="BL37">
    <cfRule type="expression" dxfId="20" priority="23" stopIfTrue="1">
      <formula>IF(AND($BE36&lt;$BE37,ISNUMBER($BE36),ISNUMBER($BE37)),1,0)</formula>
    </cfRule>
  </conditionalFormatting>
  <conditionalFormatting sqref="BD38">
    <cfRule type="expression" dxfId="19" priority="19" stopIfTrue="1">
      <formula>IF(AND($BD38&gt;$BD39,ISNUMBER($BD38),ISNUMBER($BD39)),1,0)</formula>
    </cfRule>
  </conditionalFormatting>
  <conditionalFormatting sqref="BD39">
    <cfRule type="expression" dxfId="18" priority="20" stopIfTrue="1">
      <formula>IF(AND($BD38&lt;$BD39,ISNUMBER($BD38),ISNUMBER($BD39)),1,0)</formula>
    </cfRule>
  </conditionalFormatting>
  <conditionalFormatting sqref="BF38">
    <cfRule type="expression" dxfId="17" priority="21" stopIfTrue="1">
      <formula>IF(AND($BF38&gt;$BF39,ISNUMBER($BF38),ISNUMBER($BF39)),1,0)</formula>
    </cfRule>
  </conditionalFormatting>
  <conditionalFormatting sqref="BF39">
    <cfRule type="expression" dxfId="16" priority="22" stopIfTrue="1">
      <formula>IF(AND($BF38&lt;$BF39,ISNUMBER($BF38),ISNUMBER($BF39)),1,0)</formula>
    </cfRule>
  </conditionalFormatting>
  <conditionalFormatting sqref="BE38">
    <cfRule type="expression" dxfId="15" priority="18" stopIfTrue="1">
      <formula>IF(AND($BE38&gt;$BE39,ISNUMBER($BE38),ISNUMBER($BE39)),1,0)</formula>
    </cfRule>
  </conditionalFormatting>
  <conditionalFormatting sqref="BE39">
    <cfRule type="expression" dxfId="14" priority="17" stopIfTrue="1">
      <formula>IF(AND($BE38&lt;$BE39,ISNUMBER($BE38),ISNUMBER($BE39)),1,0)</formula>
    </cfRule>
  </conditionalFormatting>
  <conditionalFormatting sqref="BD34">
    <cfRule type="expression" dxfId="13" priority="13" stopIfTrue="1">
      <formula>IF(AND($BD34&gt;$BD35,ISNUMBER($BD34),ISNUMBER($BD35)),1,0)</formula>
    </cfRule>
  </conditionalFormatting>
  <conditionalFormatting sqref="BD35">
    <cfRule type="expression" dxfId="12" priority="14" stopIfTrue="1">
      <formula>IF(AND($BD34&lt;$BD35,ISNUMBER($BD34),ISNUMBER($BD35)),1,0)</formula>
    </cfRule>
  </conditionalFormatting>
  <conditionalFormatting sqref="BF34">
    <cfRule type="expression" dxfId="11" priority="15" stopIfTrue="1">
      <formula>IF(AND($BF34&gt;$BF35,ISNUMBER($BF34),ISNUMBER($BF35)),1,0)</formula>
    </cfRule>
  </conditionalFormatting>
  <conditionalFormatting sqref="BF35">
    <cfRule type="expression" dxfId="10" priority="16" stopIfTrue="1">
      <formula>IF(AND($BF34&lt;$BF35,ISNUMBER($BF34),ISNUMBER($BF35)),1,0)</formula>
    </cfRule>
  </conditionalFormatting>
  <conditionalFormatting sqref="BE34">
    <cfRule type="expression" dxfId="9" priority="12" stopIfTrue="1">
      <formula>IF(AND($BE34&gt;$BE35,ISNUMBER($BE34),ISNUMBER($BE35)),1,0)</formula>
    </cfRule>
  </conditionalFormatting>
  <conditionalFormatting sqref="BE35">
    <cfRule type="expression" dxfId="8" priority="11" stopIfTrue="1">
      <formula>IF(AND($BE34&lt;$BE35,ISNUMBER($BE34),ISNUMBER($BE35)),1,0)</formula>
    </cfRule>
  </conditionalFormatting>
  <conditionalFormatting sqref="BD30">
    <cfRule type="expression" dxfId="7" priority="7" stopIfTrue="1">
      <formula>IF(AND($BD30&gt;$BD31,ISNUMBER($BD30),ISNUMBER($BD31)),1,0)</formula>
    </cfRule>
  </conditionalFormatting>
  <conditionalFormatting sqref="BD31">
    <cfRule type="expression" dxfId="6" priority="8" stopIfTrue="1">
      <formula>IF(AND($BD30&lt;$BD31,ISNUMBER($BD30),ISNUMBER($BD31)),1,0)</formula>
    </cfRule>
  </conditionalFormatting>
  <conditionalFormatting sqref="BF30">
    <cfRule type="expression" dxfId="5" priority="9" stopIfTrue="1">
      <formula>IF(AND($BF30&gt;$BF31,ISNUMBER($BF30),ISNUMBER($BF31)),1,0)</formula>
    </cfRule>
  </conditionalFormatting>
  <conditionalFormatting sqref="BF31">
    <cfRule type="expression" dxfId="4" priority="10" stopIfTrue="1">
      <formula>IF(AND($BF30&lt;$BF31,ISNUMBER($BF30),ISNUMBER($BF31)),1,0)</formula>
    </cfRule>
  </conditionalFormatting>
  <conditionalFormatting sqref="BE30">
    <cfRule type="expression" dxfId="3" priority="6" stopIfTrue="1">
      <formula>IF(AND($BE30&gt;$BE31,ISNUMBER($BE30),ISNUMBER($BE31)),1,0)</formula>
    </cfRule>
  </conditionalFormatting>
  <conditionalFormatting sqref="BE31">
    <cfRule type="expression" dxfId="2" priority="5" stopIfTrue="1">
      <formula>IF(AND($BE30&lt;$BE31,ISNUMBER($BE30),ISNUMBER($BE31)),1,0)</formula>
    </cfRule>
  </conditionalFormatting>
  <conditionalFormatting sqref="F7:F44">
    <cfRule type="expression" dxfId="1" priority="1" stopIfTrue="1">
      <formula>IF(AND($F7&gt;$G7,ISNUMBER($F7),ISNUMBER($G7)),1,0)</formula>
    </cfRule>
  </conditionalFormatting>
  <conditionalFormatting sqref="G7:G44">
    <cfRule type="expression" dxfId="0" priority="2" stopIfTrue="1">
      <formula>IF(AND($F7&lt;$G7,ISNUMBER($F7),ISNUMBER($G7)),1,0)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2018-06-27T13:14:11Z</dcterms:modified>
</cp:coreProperties>
</file>