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in\Documents\GitHub\budget-app\blb_content\Design\"/>
    </mc:Choice>
  </mc:AlternateContent>
  <xr:revisionPtr revIDLastSave="0" documentId="13_ncr:1_{4135BD37-1FF3-40A8-B4B0-A7F53C4EF99C}" xr6:coauthVersionLast="47" xr6:coauthVersionMax="47" xr10:uidLastSave="{00000000-0000-0000-0000-000000000000}"/>
  <bookViews>
    <workbookView xWindow="57480" yWindow="-120" windowWidth="29040" windowHeight="15840" tabRatio="953" activeTab="6" xr2:uid="{44F07271-BE31-49C4-B21B-A05A45D3600C}"/>
  </bookViews>
  <sheets>
    <sheet name="Personal Information" sheetId="10" r:id="rId1"/>
    <sheet name="PayCheck 1" sheetId="9" r:id="rId2"/>
    <sheet name="PayCheck 2" sheetId="12" r:id="rId3"/>
    <sheet name="Income Summary" sheetId="13" r:id="rId4"/>
    <sheet name="Account Management" sheetId="7" r:id="rId5"/>
    <sheet name="Simple Tax Forecast Connected" sheetId="4" r:id="rId6"/>
    <sheet name="Simple Tax Forecast Standalone" sheetId="15" r:id="rId7"/>
    <sheet name="Buckets" sheetId="14" r:id="rId8"/>
    <sheet name="SavingxTaxBrkt" sheetId="1" r:id="rId9"/>
    <sheet name="Tables" sheetId="11" r:id="rId10"/>
    <sheet name="RetirementxBrkt" sheetId="3" r:id="rId11"/>
    <sheet name="ExpensexTaxBrkt" sheetId="2" r:id="rId12"/>
  </sheets>
  <definedNames>
    <definedName name="AGI" localSheetId="6">'Simple Tax Forecast Standalone'!$B$23</definedName>
    <definedName name="AGI">'Simple Tax Forecast Connected'!$B$23</definedName>
    <definedName name="FederalTaxTable" localSheetId="6">'Simple Tax Forecast Standalone'!$E$11:$H$17</definedName>
    <definedName name="FederalTaxTable">'Simple Tax Forecast Connected'!$E$11:$H$17</definedName>
    <definedName name="StateTaxTable" localSheetId="6">'Simple Tax Forecast Standalone'!$E$20:$H$25</definedName>
    <definedName name="StateTaxTable">'Simple Tax Forecast Connected'!$E$20:$H$25</definedName>
    <definedName name="TaxableIncome" localSheetId="6">'Simple Tax Forecast Standalone'!$B$24</definedName>
    <definedName name="TaxableIncome">'Simple Tax Forecast Connected'!$B$24</definedName>
    <definedName name="TaxableIncomeFederal" localSheetId="6">'Simple Tax Forecast Standalone'!$B$24</definedName>
    <definedName name="TaxableIncomeFederal">'Simple Tax Forecast Connected'!$B$24</definedName>
    <definedName name="TaxableIncomeState" localSheetId="6">'Simple Tax Forecast Standalone'!$B$25</definedName>
    <definedName name="TaxableIncomeState">'Simple Tax Forecast Connected'!$B$25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5" l="1"/>
  <c r="B23" i="15"/>
  <c r="B24" i="15" s="1"/>
  <c r="H13" i="15"/>
  <c r="H12" i="15"/>
  <c r="B28" i="15"/>
  <c r="C29" i="15"/>
  <c r="C28" i="15"/>
  <c r="E17" i="15"/>
  <c r="E16" i="15"/>
  <c r="E15" i="15"/>
  <c r="E14" i="15"/>
  <c r="E13" i="15"/>
  <c r="E12" i="15"/>
  <c r="J26" i="15"/>
  <c r="J25" i="15"/>
  <c r="J24" i="15"/>
  <c r="J23" i="15"/>
  <c r="J22" i="15"/>
  <c r="M23" i="15" s="1"/>
  <c r="M21" i="15"/>
  <c r="J21" i="15"/>
  <c r="M22" i="15" s="1"/>
  <c r="B2" i="13"/>
  <c r="H22" i="15"/>
  <c r="H23" i="15" s="1"/>
  <c r="H24" i="15" s="1"/>
  <c r="H25" i="15" s="1"/>
  <c r="H21" i="15"/>
  <c r="B20" i="15"/>
  <c r="J17" i="15"/>
  <c r="J16" i="15"/>
  <c r="J15" i="15"/>
  <c r="J14" i="15"/>
  <c r="J13" i="15"/>
  <c r="M12" i="15"/>
  <c r="J12" i="15"/>
  <c r="M13" i="15" s="1"/>
  <c r="M14" i="15" s="1"/>
  <c r="M15" i="15" s="1"/>
  <c r="M16" i="15" s="1"/>
  <c r="M17" i="15" s="1"/>
  <c r="B8" i="15"/>
  <c r="B7" i="15"/>
  <c r="B30" i="15" s="1"/>
  <c r="H6" i="15"/>
  <c r="G5" i="15"/>
  <c r="G4" i="15"/>
  <c r="G3" i="15"/>
  <c r="J17" i="4"/>
  <c r="J16" i="4"/>
  <c r="J15" i="4"/>
  <c r="J14" i="4"/>
  <c r="J13" i="4"/>
  <c r="M12" i="4"/>
  <c r="J12" i="4"/>
  <c r="M13" i="4" s="1"/>
  <c r="K5" i="14"/>
  <c r="G8" i="14"/>
  <c r="F8" i="14"/>
  <c r="E8" i="14"/>
  <c r="G7" i="14"/>
  <c r="D7" i="14"/>
  <c r="F2" i="14"/>
  <c r="G3" i="14"/>
  <c r="G6" i="14"/>
  <c r="D6" i="14"/>
  <c r="D5" i="14"/>
  <c r="D4" i="14"/>
  <c r="D3" i="14"/>
  <c r="K3" i="14"/>
  <c r="K4" i="14" s="1"/>
  <c r="D2" i="14" s="1"/>
  <c r="E2" i="14" s="1"/>
  <c r="G2" i="14" s="1"/>
  <c r="D12" i="10"/>
  <c r="H13" i="4"/>
  <c r="G5" i="4"/>
  <c r="G4" i="4"/>
  <c r="G3" i="4"/>
  <c r="Y18" i="12"/>
  <c r="D11" i="13"/>
  <c r="D12" i="13"/>
  <c r="D13" i="13"/>
  <c r="D14" i="13"/>
  <c r="B18" i="13"/>
  <c r="C5" i="13"/>
  <c r="C6" i="13"/>
  <c r="D6" i="13" s="1"/>
  <c r="C7" i="13"/>
  <c r="C8" i="13"/>
  <c r="D8" i="13" s="1"/>
  <c r="C11" i="13"/>
  <c r="C12" i="13"/>
  <c r="C13" i="13"/>
  <c r="C14" i="13"/>
  <c r="C16" i="13"/>
  <c r="C18" i="13"/>
  <c r="D18" i="13" s="1"/>
  <c r="C2" i="13"/>
  <c r="B5" i="13"/>
  <c r="D5" i="13" s="1"/>
  <c r="B6" i="13"/>
  <c r="B7" i="13"/>
  <c r="D7" i="13" s="1"/>
  <c r="B8" i="13"/>
  <c r="B11" i="13"/>
  <c r="B12" i="13"/>
  <c r="B13" i="13"/>
  <c r="B14" i="13"/>
  <c r="B16" i="13"/>
  <c r="D16" i="13" s="1"/>
  <c r="D2" i="13"/>
  <c r="O6" i="1" s="1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S31" i="12"/>
  <c r="R31" i="12"/>
  <c r="K31" i="12"/>
  <c r="J31" i="12"/>
  <c r="C31" i="12"/>
  <c r="B31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W25" i="12"/>
  <c r="V25" i="12"/>
  <c r="O25" i="12"/>
  <c r="N25" i="12"/>
  <c r="G25" i="12"/>
  <c r="F25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S18" i="12"/>
  <c r="S35" i="12" s="1"/>
  <c r="R18" i="12"/>
  <c r="R35" i="12" s="1"/>
  <c r="K18" i="12"/>
  <c r="K35" i="12" s="1"/>
  <c r="J18" i="12"/>
  <c r="J35" i="12" s="1"/>
  <c r="C18" i="12"/>
  <c r="C35" i="12" s="1"/>
  <c r="B18" i="12"/>
  <c r="B35" i="12" s="1"/>
  <c r="Z16" i="12"/>
  <c r="Y14" i="12"/>
  <c r="Y31" i="12" s="1"/>
  <c r="X14" i="12"/>
  <c r="X31" i="12" s="1"/>
  <c r="W14" i="12"/>
  <c r="W31" i="12" s="1"/>
  <c r="V14" i="12"/>
  <c r="V31" i="12" s="1"/>
  <c r="U14" i="12"/>
  <c r="U31" i="12" s="1"/>
  <c r="T14" i="12"/>
  <c r="T31" i="12" s="1"/>
  <c r="S14" i="12"/>
  <c r="R14" i="12"/>
  <c r="Q14" i="12"/>
  <c r="Q31" i="12" s="1"/>
  <c r="P14" i="12"/>
  <c r="P31" i="12" s="1"/>
  <c r="O14" i="12"/>
  <c r="O18" i="12" s="1"/>
  <c r="O35" i="12" s="1"/>
  <c r="N14" i="12"/>
  <c r="N31" i="12" s="1"/>
  <c r="M14" i="12"/>
  <c r="M18" i="12" s="1"/>
  <c r="M35" i="12" s="1"/>
  <c r="L14" i="12"/>
  <c r="L31" i="12" s="1"/>
  <c r="K14" i="12"/>
  <c r="J14" i="12"/>
  <c r="I14" i="12"/>
  <c r="I31" i="12" s="1"/>
  <c r="H14" i="12"/>
  <c r="H31" i="12" s="1"/>
  <c r="G14" i="12"/>
  <c r="G31" i="12" s="1"/>
  <c r="F14" i="12"/>
  <c r="F31" i="12" s="1"/>
  <c r="E14" i="12"/>
  <c r="E31" i="12" s="1"/>
  <c r="D14" i="12"/>
  <c r="D31" i="12" s="1"/>
  <c r="C14" i="12"/>
  <c r="B14" i="12"/>
  <c r="Z14" i="12" s="1"/>
  <c r="Z13" i="12"/>
  <c r="Z12" i="12"/>
  <c r="Z11" i="12"/>
  <c r="Y8" i="12"/>
  <c r="Y35" i="12" s="1"/>
  <c r="X8" i="12"/>
  <c r="X25" i="12" s="1"/>
  <c r="W8" i="12"/>
  <c r="V8" i="12"/>
  <c r="V18" i="12" s="1"/>
  <c r="V35" i="12" s="1"/>
  <c r="U8" i="12"/>
  <c r="U25" i="12" s="1"/>
  <c r="T8" i="12"/>
  <c r="T25" i="12" s="1"/>
  <c r="S8" i="12"/>
  <c r="S25" i="12" s="1"/>
  <c r="R8" i="12"/>
  <c r="R25" i="12" s="1"/>
  <c r="Q8" i="12"/>
  <c r="Q18" i="12" s="1"/>
  <c r="Q35" i="12" s="1"/>
  <c r="P8" i="12"/>
  <c r="P25" i="12" s="1"/>
  <c r="O8" i="12"/>
  <c r="N8" i="12"/>
  <c r="N18" i="12" s="1"/>
  <c r="N35" i="12" s="1"/>
  <c r="M8" i="12"/>
  <c r="M25" i="12" s="1"/>
  <c r="L8" i="12"/>
  <c r="L25" i="12" s="1"/>
  <c r="K8" i="12"/>
  <c r="K25" i="12" s="1"/>
  <c r="J8" i="12"/>
  <c r="J25" i="12" s="1"/>
  <c r="I8" i="12"/>
  <c r="I18" i="12" s="1"/>
  <c r="I35" i="12" s="1"/>
  <c r="H8" i="12"/>
  <c r="H25" i="12" s="1"/>
  <c r="G8" i="12"/>
  <c r="F8" i="12"/>
  <c r="F18" i="12" s="1"/>
  <c r="F35" i="12" s="1"/>
  <c r="E8" i="12"/>
  <c r="E25" i="12" s="1"/>
  <c r="D8" i="12"/>
  <c r="D25" i="12" s="1"/>
  <c r="C8" i="12"/>
  <c r="C25" i="12" s="1"/>
  <c r="B8" i="12"/>
  <c r="Z8" i="12" s="1"/>
  <c r="Z7" i="12"/>
  <c r="Z6" i="12"/>
  <c r="Z5" i="12"/>
  <c r="AG4" i="12"/>
  <c r="AF4" i="12"/>
  <c r="AG3" i="12"/>
  <c r="AB3" i="12"/>
  <c r="Z2" i="12"/>
  <c r="Z23" i="12" s="1"/>
  <c r="B8" i="4"/>
  <c r="B7" i="4"/>
  <c r="B30" i="4" s="1"/>
  <c r="G12" i="1"/>
  <c r="F12" i="1"/>
  <c r="H12" i="4"/>
  <c r="H6" i="4"/>
  <c r="B14" i="4"/>
  <c r="R7" i="7"/>
  <c r="R5" i="7"/>
  <c r="S5" i="7" s="1"/>
  <c r="R4" i="7"/>
  <c r="S4" i="7" s="1"/>
  <c r="R3" i="7"/>
  <c r="S3" i="7" s="1"/>
  <c r="R6" i="7"/>
  <c r="S6" i="7" s="1"/>
  <c r="R2" i="7"/>
  <c r="S2" i="7" s="1"/>
  <c r="B6" i="4"/>
  <c r="AB3" i="9"/>
  <c r="S24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T31" i="9"/>
  <c r="S31" i="9"/>
  <c r="R31" i="9"/>
  <c r="L31" i="9"/>
  <c r="K31" i="9"/>
  <c r="J31" i="9"/>
  <c r="D31" i="9"/>
  <c r="C31" i="9"/>
  <c r="B31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X25" i="9"/>
  <c r="W25" i="9"/>
  <c r="V25" i="9"/>
  <c r="P25" i="9"/>
  <c r="O25" i="9"/>
  <c r="N25" i="9"/>
  <c r="H25" i="9"/>
  <c r="G25" i="9"/>
  <c r="F25" i="9"/>
  <c r="Y24" i="9"/>
  <c r="X24" i="9"/>
  <c r="W24" i="9"/>
  <c r="V24" i="9"/>
  <c r="U24" i="9"/>
  <c r="T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T18" i="9"/>
  <c r="T35" i="9" s="1"/>
  <c r="L18" i="9"/>
  <c r="L35" i="9" s="1"/>
  <c r="D18" i="9"/>
  <c r="D35" i="9" s="1"/>
  <c r="Z16" i="9"/>
  <c r="Y14" i="9"/>
  <c r="Y31" i="9" s="1"/>
  <c r="X14" i="9"/>
  <c r="X31" i="9" s="1"/>
  <c r="W14" i="9"/>
  <c r="W31" i="9" s="1"/>
  <c r="V14" i="9"/>
  <c r="V18" i="9" s="1"/>
  <c r="V35" i="9" s="1"/>
  <c r="U14" i="9"/>
  <c r="U31" i="9" s="1"/>
  <c r="T14" i="9"/>
  <c r="S14" i="9"/>
  <c r="R14" i="9"/>
  <c r="Q14" i="9"/>
  <c r="Q31" i="9" s="1"/>
  <c r="P14" i="9"/>
  <c r="P31" i="9" s="1"/>
  <c r="O14" i="9"/>
  <c r="O18" i="9" s="1"/>
  <c r="O35" i="9" s="1"/>
  <c r="N14" i="9"/>
  <c r="N18" i="9" s="1"/>
  <c r="N35" i="9" s="1"/>
  <c r="M14" i="9"/>
  <c r="M31" i="9" s="1"/>
  <c r="L14" i="9"/>
  <c r="K14" i="9"/>
  <c r="J14" i="9"/>
  <c r="I14" i="9"/>
  <c r="I31" i="9" s="1"/>
  <c r="H14" i="9"/>
  <c r="H31" i="9" s="1"/>
  <c r="G14" i="9"/>
  <c r="G31" i="9" s="1"/>
  <c r="F14" i="9"/>
  <c r="F31" i="9" s="1"/>
  <c r="E14" i="9"/>
  <c r="E31" i="9" s="1"/>
  <c r="D14" i="9"/>
  <c r="C14" i="9"/>
  <c r="B14" i="9"/>
  <c r="Z14" i="9" s="1"/>
  <c r="Z31" i="9" s="1"/>
  <c r="Z13" i="9"/>
  <c r="Z30" i="9" s="1"/>
  <c r="Z12" i="9"/>
  <c r="Z29" i="9" s="1"/>
  <c r="Z11" i="9"/>
  <c r="Z28" i="9" s="1"/>
  <c r="Y8" i="9"/>
  <c r="Y18" i="9" s="1"/>
  <c r="Y35" i="9" s="1"/>
  <c r="X8" i="9"/>
  <c r="X18" i="9" s="1"/>
  <c r="X35" i="9" s="1"/>
  <c r="W8" i="9"/>
  <c r="V8" i="9"/>
  <c r="U8" i="9"/>
  <c r="U25" i="9" s="1"/>
  <c r="T8" i="9"/>
  <c r="T25" i="9" s="1"/>
  <c r="S8" i="9"/>
  <c r="S18" i="9" s="1"/>
  <c r="S35" i="9" s="1"/>
  <c r="R8" i="9"/>
  <c r="R18" i="9" s="1"/>
  <c r="R35" i="9" s="1"/>
  <c r="Q8" i="9"/>
  <c r="Q18" i="9" s="1"/>
  <c r="Q35" i="9" s="1"/>
  <c r="P8" i="9"/>
  <c r="P18" i="9" s="1"/>
  <c r="P35" i="9" s="1"/>
  <c r="O8" i="9"/>
  <c r="N8" i="9"/>
  <c r="M8" i="9"/>
  <c r="M25" i="9" s="1"/>
  <c r="L8" i="9"/>
  <c r="L25" i="9" s="1"/>
  <c r="K8" i="9"/>
  <c r="K18" i="9" s="1"/>
  <c r="K35" i="9" s="1"/>
  <c r="J8" i="9"/>
  <c r="J18" i="9" s="1"/>
  <c r="J35" i="9" s="1"/>
  <c r="I8" i="9"/>
  <c r="I18" i="9" s="1"/>
  <c r="I35" i="9" s="1"/>
  <c r="H8" i="9"/>
  <c r="H18" i="9" s="1"/>
  <c r="H35" i="9" s="1"/>
  <c r="G8" i="9"/>
  <c r="F8" i="9"/>
  <c r="E8" i="9"/>
  <c r="E25" i="9" s="1"/>
  <c r="D8" i="9"/>
  <c r="D25" i="9" s="1"/>
  <c r="C8" i="9"/>
  <c r="C18" i="9" s="1"/>
  <c r="C35" i="9" s="1"/>
  <c r="B8" i="9"/>
  <c r="B18" i="9" s="1"/>
  <c r="Z7" i="9"/>
  <c r="Z24" i="9" s="1"/>
  <c r="Z6" i="9"/>
  <c r="Z5" i="9"/>
  <c r="Z22" i="9" s="1"/>
  <c r="AF4" i="9"/>
  <c r="AG4" i="9" s="1"/>
  <c r="AB4" i="9"/>
  <c r="AF5" i="9" s="1"/>
  <c r="AG5" i="9" s="1"/>
  <c r="AG3" i="9"/>
  <c r="AG6" i="9" s="1"/>
  <c r="Z2" i="9"/>
  <c r="O11" i="1"/>
  <c r="C26" i="15" l="1"/>
  <c r="H14" i="15"/>
  <c r="H15" i="15" s="1"/>
  <c r="H16" i="15" s="1"/>
  <c r="H17" i="15" s="1"/>
  <c r="M24" i="15"/>
  <c r="M25" i="15"/>
  <c r="M26" i="15" s="1"/>
  <c r="G2" i="4"/>
  <c r="B22" i="4" s="1"/>
  <c r="B22" i="15"/>
  <c r="B29" i="15"/>
  <c r="M14" i="4"/>
  <c r="M15" i="4" s="1"/>
  <c r="M16" i="4" s="1"/>
  <c r="M17" i="4" s="1"/>
  <c r="F3" i="14"/>
  <c r="G4" i="14"/>
  <c r="E3" i="14"/>
  <c r="E4" i="14" s="1"/>
  <c r="Z33" i="12"/>
  <c r="Z29" i="12"/>
  <c r="AB4" i="12"/>
  <c r="AF5" i="12" s="1"/>
  <c r="AG5" i="12" s="1"/>
  <c r="AG6" i="12" s="1"/>
  <c r="Z30" i="12"/>
  <c r="Z22" i="12"/>
  <c r="Z31" i="12"/>
  <c r="Z28" i="12"/>
  <c r="Z25" i="12"/>
  <c r="Z24" i="12"/>
  <c r="E18" i="12"/>
  <c r="E35" i="12" s="1"/>
  <c r="U18" i="12"/>
  <c r="U35" i="12" s="1"/>
  <c r="I25" i="12"/>
  <c r="Y25" i="12"/>
  <c r="M31" i="12"/>
  <c r="B25" i="12"/>
  <c r="G18" i="12"/>
  <c r="G35" i="12" s="1"/>
  <c r="W18" i="12"/>
  <c r="W35" i="12" s="1"/>
  <c r="O31" i="12"/>
  <c r="H18" i="12"/>
  <c r="H35" i="12" s="1"/>
  <c r="P18" i="12"/>
  <c r="P35" i="12" s="1"/>
  <c r="X18" i="12"/>
  <c r="X35" i="12" s="1"/>
  <c r="Q25" i="12"/>
  <c r="D18" i="12"/>
  <c r="D35" i="12" s="1"/>
  <c r="L18" i="12"/>
  <c r="L35" i="12" s="1"/>
  <c r="T18" i="12"/>
  <c r="T35" i="12" s="1"/>
  <c r="B29" i="4"/>
  <c r="R9" i="7"/>
  <c r="B5" i="4"/>
  <c r="B35" i="9"/>
  <c r="E18" i="9"/>
  <c r="E35" i="9" s="1"/>
  <c r="M18" i="9"/>
  <c r="M35" i="9" s="1"/>
  <c r="U18" i="9"/>
  <c r="U35" i="9" s="1"/>
  <c r="I25" i="9"/>
  <c r="Q25" i="9"/>
  <c r="Y25" i="9"/>
  <c r="F18" i="9"/>
  <c r="F35" i="9" s="1"/>
  <c r="B25" i="9"/>
  <c r="R25" i="9"/>
  <c r="N31" i="9"/>
  <c r="G18" i="9"/>
  <c r="G35" i="9" s="1"/>
  <c r="W18" i="9"/>
  <c r="W35" i="9" s="1"/>
  <c r="K25" i="9"/>
  <c r="O31" i="9"/>
  <c r="J25" i="9"/>
  <c r="V31" i="9"/>
  <c r="C25" i="9"/>
  <c r="S25" i="9"/>
  <c r="Z8" i="9"/>
  <c r="Z25" i="9" s="1"/>
  <c r="B23" i="4" l="1"/>
  <c r="B24" i="4" s="1"/>
  <c r="B26" i="4" s="1"/>
  <c r="E36" i="4" s="1"/>
  <c r="B28" i="4"/>
  <c r="B25" i="15"/>
  <c r="B27" i="15" s="1"/>
  <c r="F4" i="14"/>
  <c r="F5" i="14" s="1"/>
  <c r="F6" i="14" s="1"/>
  <c r="F7" i="14" s="1"/>
  <c r="E5" i="14"/>
  <c r="G5" i="14" s="1"/>
  <c r="Z18" i="12"/>
  <c r="Z35" i="12" s="1"/>
  <c r="Z18" i="9"/>
  <c r="Z35" i="9" s="1"/>
  <c r="B34" i="15" l="1"/>
  <c r="B33" i="4"/>
  <c r="H5" i="4"/>
  <c r="E6" i="14"/>
  <c r="E7" i="14" s="1"/>
  <c r="M11" i="1"/>
  <c r="D42" i="1"/>
  <c r="D41" i="1"/>
  <c r="I16" i="1"/>
  <c r="I17" i="1"/>
  <c r="I11" i="1"/>
  <c r="I12" i="1" s="1"/>
  <c r="B33" i="15" l="1"/>
  <c r="B31" i="15"/>
  <c r="H5" i="15"/>
  <c r="H7" i="15" s="1"/>
  <c r="I9" i="15" s="1"/>
  <c r="I20" i="1"/>
  <c r="I24" i="1" s="1"/>
  <c r="I13" i="1"/>
  <c r="I21" i="1" s="1"/>
  <c r="I25" i="1" s="1"/>
  <c r="I33" i="1" l="1"/>
  <c r="I41" i="1" s="1"/>
  <c r="I46" i="1" s="1"/>
  <c r="I34" i="1"/>
  <c r="I42" i="1" s="1"/>
  <c r="I47" i="1" s="1"/>
  <c r="I51" i="1" l="1"/>
  <c r="I56" i="1" s="1"/>
  <c r="I50" i="1" l="1"/>
  <c r="I55" i="1" s="1"/>
  <c r="E12" i="4" l="1"/>
  <c r="E13" i="4"/>
  <c r="E14" i="4"/>
  <c r="E15" i="4"/>
  <c r="E16" i="4"/>
  <c r="E17" i="4"/>
  <c r="B20" i="4"/>
  <c r="B25" i="4" s="1"/>
  <c r="B27" i="4" s="1"/>
  <c r="H21" i="4"/>
  <c r="H22" i="4" s="1"/>
  <c r="H23" i="4" s="1"/>
  <c r="H24" i="4" s="1"/>
  <c r="H25" i="4" s="1"/>
  <c r="B34" i="4" l="1"/>
  <c r="B31" i="4"/>
  <c r="O13" i="1" s="1"/>
  <c r="O21" i="1" s="1"/>
  <c r="H14" i="4"/>
  <c r="H15" i="4" s="1"/>
  <c r="H16" i="4" s="1"/>
  <c r="H17" i="4" s="1"/>
  <c r="J11" i="1"/>
  <c r="J12" i="1" s="1"/>
  <c r="J16" i="1"/>
  <c r="J17" i="1"/>
  <c r="B36" i="2"/>
  <c r="B24" i="3"/>
  <c r="B25" i="3"/>
  <c r="B26" i="3"/>
  <c r="B27" i="3"/>
  <c r="B28" i="3"/>
  <c r="B29" i="3"/>
  <c r="B30" i="3"/>
  <c r="B31" i="3"/>
  <c r="B32" i="3"/>
  <c r="B33" i="3"/>
  <c r="B23" i="3"/>
  <c r="E20" i="3"/>
  <c r="F20" i="3"/>
  <c r="G20" i="3"/>
  <c r="H20" i="3"/>
  <c r="I20" i="3"/>
  <c r="J20" i="3"/>
  <c r="D20" i="3"/>
  <c r="D18" i="3"/>
  <c r="J4" i="3"/>
  <c r="J5" i="3"/>
  <c r="J6" i="3"/>
  <c r="I4" i="3"/>
  <c r="I5" i="3"/>
  <c r="I6" i="3"/>
  <c r="D3" i="3"/>
  <c r="E4" i="3"/>
  <c r="F4" i="3"/>
  <c r="G4" i="3"/>
  <c r="D5" i="3"/>
  <c r="E5" i="3"/>
  <c r="F5" i="3"/>
  <c r="G5" i="3"/>
  <c r="H5" i="3"/>
  <c r="D6" i="3"/>
  <c r="E6" i="3"/>
  <c r="F6" i="3"/>
  <c r="G6" i="3"/>
  <c r="H6" i="3"/>
  <c r="C4" i="3"/>
  <c r="C5" i="3"/>
  <c r="C6" i="3"/>
  <c r="C3" i="3"/>
  <c r="L6" i="2"/>
  <c r="L3" i="2"/>
  <c r="O37" i="1"/>
  <c r="O17" i="1"/>
  <c r="C9" i="2"/>
  <c r="C10" i="2"/>
  <c r="C8" i="2"/>
  <c r="C6" i="2"/>
  <c r="D6" i="2"/>
  <c r="E6" i="2"/>
  <c r="F6" i="2"/>
  <c r="G6" i="2"/>
  <c r="H6" i="2"/>
  <c r="I6" i="2"/>
  <c r="J6" i="2"/>
  <c r="C5" i="2"/>
  <c r="D5" i="2"/>
  <c r="E5" i="2"/>
  <c r="F5" i="2"/>
  <c r="G5" i="2"/>
  <c r="H5" i="2"/>
  <c r="I5" i="2"/>
  <c r="J5" i="2"/>
  <c r="D3" i="2"/>
  <c r="E4" i="2"/>
  <c r="F4" i="2"/>
  <c r="G4" i="2"/>
  <c r="I4" i="2"/>
  <c r="J4" i="2"/>
  <c r="C4" i="2"/>
  <c r="C3" i="2"/>
  <c r="G11" i="1"/>
  <c r="G13" i="1" s="1"/>
  <c r="H11" i="1"/>
  <c r="H12" i="1" s="1"/>
  <c r="K11" i="1"/>
  <c r="K12" i="1" s="1"/>
  <c r="L11" i="1"/>
  <c r="L12" i="1" s="1"/>
  <c r="M13" i="1"/>
  <c r="F11" i="1"/>
  <c r="F13" i="1" s="1"/>
  <c r="D28" i="1"/>
  <c r="G17" i="1"/>
  <c r="H17" i="1"/>
  <c r="K17" i="1"/>
  <c r="L17" i="1"/>
  <c r="M17" i="1"/>
  <c r="G16" i="1"/>
  <c r="H16" i="1"/>
  <c r="K16" i="1"/>
  <c r="L16" i="1"/>
  <c r="M16" i="1"/>
  <c r="F17" i="1"/>
  <c r="F16" i="1"/>
  <c r="O30" i="1" l="1"/>
  <c r="O25" i="1"/>
  <c r="H7" i="4"/>
  <c r="I30" i="1"/>
  <c r="I29" i="1"/>
  <c r="F20" i="1"/>
  <c r="D9" i="2" s="1"/>
  <c r="M12" i="1"/>
  <c r="M20" i="1" s="1"/>
  <c r="G20" i="1"/>
  <c r="E9" i="2" s="1"/>
  <c r="L13" i="1"/>
  <c r="L21" i="1" s="1"/>
  <c r="I10" i="2" s="1"/>
  <c r="J20" i="1"/>
  <c r="J24" i="1" s="1"/>
  <c r="J13" i="1"/>
  <c r="J21" i="1" s="1"/>
  <c r="K13" i="1"/>
  <c r="K21" i="1" s="1"/>
  <c r="H10" i="2" s="1"/>
  <c r="H13" i="1"/>
  <c r="H21" i="1" s="1"/>
  <c r="H30" i="1" s="1"/>
  <c r="B12" i="2"/>
  <c r="F21" i="1"/>
  <c r="D10" i="2" s="1"/>
  <c r="L20" i="1"/>
  <c r="I9" i="2" s="1"/>
  <c r="H20" i="1"/>
  <c r="F9" i="2" s="1"/>
  <c r="G21" i="1"/>
  <c r="E10" i="2" s="1"/>
  <c r="M21" i="1"/>
  <c r="J10" i="2" s="1"/>
  <c r="K20" i="1"/>
  <c r="J37" i="1" l="1"/>
  <c r="J41" i="1" s="1"/>
  <c r="G9" i="2"/>
  <c r="G13" i="2" s="1"/>
  <c r="G17" i="2" s="1"/>
  <c r="G21" i="2" s="1"/>
  <c r="J29" i="1"/>
  <c r="G10" i="2"/>
  <c r="G14" i="2" s="1"/>
  <c r="G18" i="2" s="1"/>
  <c r="G22" i="2" s="1"/>
  <c r="J25" i="1"/>
  <c r="J30" i="1"/>
  <c r="M24" i="1"/>
  <c r="J9" i="2"/>
  <c r="J13" i="2" s="1"/>
  <c r="J17" i="2" s="1"/>
  <c r="J21" i="2" s="1"/>
  <c r="J14" i="2"/>
  <c r="J18" i="2" s="1"/>
  <c r="J22" i="2" s="1"/>
  <c r="K24" i="1"/>
  <c r="H9" i="2"/>
  <c r="H13" i="2" s="1"/>
  <c r="H17" i="2" s="1"/>
  <c r="H21" i="2" s="1"/>
  <c r="H25" i="1"/>
  <c r="F10" i="2"/>
  <c r="F14" i="2" s="1"/>
  <c r="F18" i="2" s="1"/>
  <c r="E14" i="2"/>
  <c r="E18" i="2" s="1"/>
  <c r="E22" i="2" s="1"/>
  <c r="E13" i="2"/>
  <c r="E17" i="2" s="1"/>
  <c r="I14" i="2"/>
  <c r="I18" i="2" s="1"/>
  <c r="I30" i="2" s="1"/>
  <c r="I13" i="2"/>
  <c r="I17" i="2" s="1"/>
  <c r="I21" i="2" s="1"/>
  <c r="D14" i="2"/>
  <c r="D18" i="2" s="1"/>
  <c r="D26" i="2" s="1"/>
  <c r="F13" i="2"/>
  <c r="F17" i="2" s="1"/>
  <c r="F33" i="2" s="1"/>
  <c r="H14" i="2"/>
  <c r="H18" i="2" s="1"/>
  <c r="H38" i="2" s="1"/>
  <c r="D13" i="2"/>
  <c r="D17" i="2" s="1"/>
  <c r="D21" i="2" s="1"/>
  <c r="G29" i="1"/>
  <c r="G24" i="1"/>
  <c r="M30" i="1"/>
  <c r="M25" i="1"/>
  <c r="L29" i="1"/>
  <c r="L24" i="1"/>
  <c r="L30" i="1"/>
  <c r="L25" i="1"/>
  <c r="G25" i="1"/>
  <c r="F29" i="1"/>
  <c r="F24" i="1"/>
  <c r="F30" i="1"/>
  <c r="F25" i="1"/>
  <c r="H29" i="1"/>
  <c r="H24" i="1"/>
  <c r="K30" i="1"/>
  <c r="K25" i="1"/>
  <c r="G30" i="1"/>
  <c r="M29" i="1"/>
  <c r="K29" i="1"/>
  <c r="J46" i="1" l="1"/>
  <c r="J38" i="1"/>
  <c r="J42" i="1" s="1"/>
  <c r="J47" i="1"/>
  <c r="H34" i="1"/>
  <c r="H42" i="1" s="1"/>
  <c r="H47" i="1" s="1"/>
  <c r="G25" i="2"/>
  <c r="G37" i="2"/>
  <c r="K37" i="1"/>
  <c r="K46" i="1" s="1"/>
  <c r="E38" i="2"/>
  <c r="G33" i="2"/>
  <c r="E30" i="2"/>
  <c r="E34" i="2"/>
  <c r="E26" i="2"/>
  <c r="I22" i="2"/>
  <c r="D38" i="2"/>
  <c r="J26" i="2"/>
  <c r="D22" i="2"/>
  <c r="J34" i="2"/>
  <c r="J37" i="2"/>
  <c r="J38" i="2"/>
  <c r="J30" i="2"/>
  <c r="I34" i="2"/>
  <c r="J50" i="1"/>
  <c r="J55" i="1" s="1"/>
  <c r="M37" i="1"/>
  <c r="M46" i="1" s="1"/>
  <c r="G29" i="2"/>
  <c r="F34" i="2"/>
  <c r="F22" i="2"/>
  <c r="I37" i="2"/>
  <c r="H26" i="2"/>
  <c r="H30" i="2"/>
  <c r="H22" i="2"/>
  <c r="D29" i="2"/>
  <c r="H33" i="2"/>
  <c r="D33" i="2"/>
  <c r="H25" i="2"/>
  <c r="I26" i="2"/>
  <c r="H34" i="2"/>
  <c r="I38" i="2"/>
  <c r="I29" i="2"/>
  <c r="F30" i="2"/>
  <c r="I33" i="2"/>
  <c r="F26" i="2"/>
  <c r="I25" i="2"/>
  <c r="J29" i="2"/>
  <c r="F38" i="2"/>
  <c r="H37" i="2"/>
  <c r="F29" i="2"/>
  <c r="F21" i="2"/>
  <c r="D37" i="2"/>
  <c r="D30" i="2"/>
  <c r="J33" i="2"/>
  <c r="J25" i="2"/>
  <c r="G34" i="2"/>
  <c r="D25" i="2"/>
  <c r="D34" i="2"/>
  <c r="H29" i="2"/>
  <c r="G26" i="2"/>
  <c r="E21" i="2"/>
  <c r="E25" i="2"/>
  <c r="E29" i="2"/>
  <c r="E33" i="2"/>
  <c r="E37" i="2"/>
  <c r="F25" i="2"/>
  <c r="G30" i="2"/>
  <c r="F37" i="2"/>
  <c r="G38" i="2"/>
  <c r="L37" i="1"/>
  <c r="L46" i="1" s="1"/>
  <c r="F34" i="1"/>
  <c r="F42" i="1" s="1"/>
  <c r="F47" i="1" s="1"/>
  <c r="F33" i="1"/>
  <c r="F41" i="1" s="1"/>
  <c r="F46" i="1" s="1"/>
  <c r="F50" i="1" s="1"/>
  <c r="G34" i="1"/>
  <c r="G42" i="1" s="1"/>
  <c r="G47" i="1" s="1"/>
  <c r="L38" i="1"/>
  <c r="L47" i="1" s="1"/>
  <c r="G33" i="1"/>
  <c r="G41" i="1" s="1"/>
  <c r="G46" i="1" s="1"/>
  <c r="K38" i="1"/>
  <c r="K47" i="1" s="1"/>
  <c r="H33" i="1"/>
  <c r="H41" i="1" s="1"/>
  <c r="H46" i="1" s="1"/>
  <c r="M38" i="1"/>
  <c r="M47" i="1" s="1"/>
  <c r="M41" i="1" l="1"/>
  <c r="K41" i="1"/>
  <c r="H51" i="1"/>
  <c r="F10" i="3" s="1"/>
  <c r="K42" i="1"/>
  <c r="L41" i="1"/>
  <c r="L42" i="1"/>
  <c r="M42" i="1"/>
  <c r="M50" i="1"/>
  <c r="M55" i="1" s="1"/>
  <c r="J13" i="3" s="1"/>
  <c r="K50" i="1"/>
  <c r="K55" i="1" s="1"/>
  <c r="H13" i="3" s="1"/>
  <c r="J51" i="1"/>
  <c r="J56" i="1" s="1"/>
  <c r="H56" i="1"/>
  <c r="F14" i="3" s="1"/>
  <c r="H50" i="1"/>
  <c r="H55" i="1" s="1"/>
  <c r="F13" i="3" s="1"/>
  <c r="L50" i="1"/>
  <c r="L55" i="1" s="1"/>
  <c r="I13" i="3" s="1"/>
  <c r="K51" i="1"/>
  <c r="H10" i="3" s="1"/>
  <c r="L51" i="1"/>
  <c r="L56" i="1" s="1"/>
  <c r="I14" i="3" s="1"/>
  <c r="G50" i="1"/>
  <c r="G55" i="1" s="1"/>
  <c r="E13" i="3" s="1"/>
  <c r="F51" i="1"/>
  <c r="M51" i="1"/>
  <c r="M56" i="1" s="1"/>
  <c r="J14" i="3" s="1"/>
  <c r="G51" i="1"/>
  <c r="J9" i="3" l="1"/>
  <c r="H9" i="3"/>
  <c r="I9" i="3"/>
  <c r="I27" i="3" s="1"/>
  <c r="F9" i="3"/>
  <c r="F28" i="3" s="1"/>
  <c r="J10" i="3"/>
  <c r="G14" i="3"/>
  <c r="G10" i="3"/>
  <c r="F56" i="1"/>
  <c r="D14" i="3" s="1"/>
  <c r="D10" i="3"/>
  <c r="I10" i="3"/>
  <c r="K56" i="1"/>
  <c r="H14" i="3" s="1"/>
  <c r="G9" i="3"/>
  <c r="J24" i="3"/>
  <c r="J32" i="3"/>
  <c r="J26" i="3"/>
  <c r="J25" i="3"/>
  <c r="J29" i="3"/>
  <c r="J30" i="3"/>
  <c r="J23" i="3"/>
  <c r="J31" i="3"/>
  <c r="J28" i="3"/>
  <c r="J33" i="3"/>
  <c r="J27" i="3"/>
  <c r="E10" i="3"/>
  <c r="E9" i="3"/>
  <c r="H26" i="3"/>
  <c r="H28" i="3"/>
  <c r="H32" i="3"/>
  <c r="H29" i="3"/>
  <c r="H23" i="3"/>
  <c r="H31" i="3"/>
  <c r="H25" i="3"/>
  <c r="H33" i="3"/>
  <c r="H30" i="3"/>
  <c r="H27" i="3"/>
  <c r="H24" i="3"/>
  <c r="G13" i="3"/>
  <c r="G56" i="1"/>
  <c r="E14" i="3" s="1"/>
  <c r="F55" i="1"/>
  <c r="D13" i="3" s="1"/>
  <c r="I30" i="3" l="1"/>
  <c r="F29" i="3"/>
  <c r="I31" i="3"/>
  <c r="F30" i="3"/>
  <c r="F27" i="3"/>
  <c r="I25" i="3"/>
  <c r="I29" i="3"/>
  <c r="F26" i="3"/>
  <c r="I28" i="3"/>
  <c r="I33" i="3"/>
  <c r="F25" i="3"/>
  <c r="F31" i="3"/>
  <c r="I24" i="3"/>
  <c r="F24" i="3"/>
  <c r="I23" i="3"/>
  <c r="F33" i="3"/>
  <c r="I26" i="3"/>
  <c r="I32" i="3"/>
  <c r="F32" i="3"/>
  <c r="F23" i="3"/>
  <c r="E28" i="3"/>
  <c r="E30" i="3"/>
  <c r="E29" i="3"/>
  <c r="E26" i="3"/>
  <c r="E25" i="3"/>
  <c r="E33" i="3"/>
  <c r="E23" i="3"/>
  <c r="E31" i="3"/>
  <c r="E27" i="3"/>
  <c r="E24" i="3"/>
  <c r="E32" i="3"/>
  <c r="G23" i="3"/>
  <c r="G31" i="3"/>
  <c r="G25" i="3"/>
  <c r="G33" i="3"/>
  <c r="G32" i="3"/>
  <c r="G28" i="3"/>
  <c r="G26" i="3"/>
  <c r="G30" i="3"/>
  <c r="G27" i="3"/>
  <c r="G24" i="3"/>
  <c r="G29" i="3"/>
  <c r="D9" i="3"/>
  <c r="D26" i="3" l="1"/>
  <c r="D23" i="3"/>
  <c r="D28" i="3"/>
  <c r="D31" i="3"/>
  <c r="D32" i="3"/>
  <c r="D33" i="3"/>
  <c r="D27" i="3"/>
  <c r="D29" i="3"/>
  <c r="D30" i="3"/>
  <c r="D24" i="3"/>
  <c r="D25" i="3"/>
  <c r="I9" i="4" l="1"/>
  <c r="P10" i="1"/>
  <c r="O34" i="1" l="1"/>
  <c r="L10" i="2"/>
  <c r="L14" i="2" s="1"/>
  <c r="L18" i="2" s="1"/>
  <c r="L38" i="2" l="1"/>
  <c r="L30" i="2"/>
  <c r="L22" i="2"/>
  <c r="L34" i="2"/>
  <c r="L26" i="2"/>
  <c r="O42" i="1"/>
  <c r="O47" i="1" l="1"/>
  <c r="O51" i="1" l="1"/>
  <c r="O56" i="1" s="1"/>
  <c r="O5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Rhodes</author>
    <author>tc={9B368A06-24D4-47BF-AB1B-14BBEFEB1F85}</author>
  </authors>
  <commentList>
    <comment ref="O10" authorId="0" shapeId="0" xr:uid="{9A40415F-E0A3-4D7E-9897-35615524CE50}">
      <text>
        <r>
          <rPr>
            <b/>
            <sz val="9"/>
            <color indexed="81"/>
            <rFont val="Tahoma"/>
            <family val="2"/>
          </rPr>
          <t>James Rhodes:</t>
        </r>
        <r>
          <rPr>
            <sz val="9"/>
            <color indexed="81"/>
            <rFont val="Tahoma"/>
            <family val="2"/>
          </rPr>
          <t xml:space="preserve">
You must type in number to right to avoid circular reference.</t>
        </r>
      </text>
    </comment>
    <comment ref="O33" authorId="1" shapeId="0" xr:uid="{9B368A06-24D4-47BF-AB1B-14BBEFEB1F85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figure out formula</t>
      </text>
    </comment>
  </commentList>
</comments>
</file>

<file path=xl/sharedStrings.xml><?xml version="1.0" encoding="utf-8"?>
<sst xmlns="http://schemas.openxmlformats.org/spreadsheetml/2006/main" count="460" uniqueCount="249">
  <si>
    <t>Salary</t>
  </si>
  <si>
    <t>Individual</t>
  </si>
  <si>
    <t>Joint</t>
  </si>
  <si>
    <t>Tax Rate</t>
  </si>
  <si>
    <t>Eff. Tax Rate</t>
  </si>
  <si>
    <t>Ind. Tax Expense</t>
  </si>
  <si>
    <t>Joint Tax Expense</t>
  </si>
  <si>
    <t>Take Home Pay</t>
  </si>
  <si>
    <t>Month Emergency Fund</t>
  </si>
  <si>
    <t>Taxes</t>
  </si>
  <si>
    <t>Expense Rate</t>
  </si>
  <si>
    <t>Total Savings Allocation</t>
  </si>
  <si>
    <t>Employer Match 401 (k)/403(b)</t>
  </si>
  <si>
    <t>Tax Brackets 2021</t>
  </si>
  <si>
    <r>
      <t xml:space="preserve">457 (b) </t>
    </r>
    <r>
      <rPr>
        <sz val="11"/>
        <color theme="1"/>
        <rFont val="Calibri"/>
        <family val="2"/>
        <scheme val="minor"/>
      </rPr>
      <t>If available</t>
    </r>
  </si>
  <si>
    <t>Deductible (Roth/Traditional) IRA</t>
  </si>
  <si>
    <t>Non- Deductible Traditional IRA</t>
  </si>
  <si>
    <r>
      <t xml:space="preserve">HSA </t>
    </r>
    <r>
      <rPr>
        <sz val="11"/>
        <color theme="1"/>
        <rFont val="Calibri"/>
        <family val="2"/>
        <scheme val="minor"/>
      </rPr>
      <t>Requires High Med. Deductible</t>
    </r>
  </si>
  <si>
    <t>Taxable Investments</t>
  </si>
  <si>
    <t>Caps</t>
  </si>
  <si>
    <t>Top 1%</t>
  </si>
  <si>
    <t>Top 5%</t>
  </si>
  <si>
    <t>Top 10%</t>
  </si>
  <si>
    <t>Top 25%</t>
  </si>
  <si>
    <t>Top 50%</t>
  </si>
  <si>
    <t>Earning Percentile</t>
  </si>
  <si>
    <t>State Tax Rate</t>
  </si>
  <si>
    <t>Living Expenses</t>
  </si>
  <si>
    <t>Monthly Expenses</t>
  </si>
  <si>
    <t>Housing</t>
  </si>
  <si>
    <t>My Income</t>
  </si>
  <si>
    <t>Charity</t>
  </si>
  <si>
    <t>Untaxable Investments</t>
  </si>
  <si>
    <t>Years Of Savings</t>
  </si>
  <si>
    <t>CoRi Index</t>
  </si>
  <si>
    <t>Desired Income</t>
  </si>
  <si>
    <t>Retirement Goal</t>
  </si>
  <si>
    <t>MKT Rate</t>
  </si>
  <si>
    <t>Eff Tax Rate</t>
  </si>
  <si>
    <t>Age</t>
  </si>
  <si>
    <t>Food</t>
  </si>
  <si>
    <r>
      <rPr>
        <b/>
        <sz val="11"/>
        <color theme="1"/>
        <rFont val="Calibri"/>
        <family val="2"/>
        <scheme val="minor"/>
      </rPr>
      <t xml:space="preserve">Discretionary </t>
    </r>
    <r>
      <rPr>
        <sz val="11"/>
        <color theme="1"/>
        <rFont val="Calibri"/>
        <family val="2"/>
        <scheme val="minor"/>
      </rPr>
      <t>(Wants)</t>
    </r>
  </si>
  <si>
    <t>MISC Bills</t>
  </si>
  <si>
    <t>Roth Limit</t>
  </si>
  <si>
    <t>Effective State Tax %</t>
  </si>
  <si>
    <t>Effective Fed Tax %</t>
  </si>
  <si>
    <t>Total Tax</t>
  </si>
  <si>
    <t>Child Tax Credit</t>
  </si>
  <si>
    <t>Medicare</t>
  </si>
  <si>
    <t>Social Security</t>
  </si>
  <si>
    <t>State Tax</t>
  </si>
  <si>
    <t>Other States see here</t>
  </si>
  <si>
    <t>Married filing jointly - GA State Tax Brackets</t>
  </si>
  <si>
    <t>Federal Tax</t>
  </si>
  <si>
    <t>Taxable Income - State</t>
  </si>
  <si>
    <t>Taxable Income - Federal</t>
  </si>
  <si>
    <t>Adjusted Gross Income (AGI)</t>
  </si>
  <si>
    <t>Estimated Income</t>
  </si>
  <si>
    <t>Total</t>
  </si>
  <si>
    <t>Dependent Exemption</t>
  </si>
  <si>
    <t>Other brackets see here</t>
  </si>
  <si>
    <t>Married filing jointly - Federal Tax Brackets</t>
  </si>
  <si>
    <t>Available if you and not someone else is responsible for covering your living expenses</t>
  </si>
  <si>
    <t>Personal Exemption</t>
  </si>
  <si>
    <t>Available of you don't file itemized deductions</t>
  </si>
  <si>
    <t>Standard Deduction</t>
  </si>
  <si>
    <t>State Deductions</t>
  </si>
  <si>
    <t>Total Federal Deductions</t>
  </si>
  <si>
    <t>Child Credit</t>
  </si>
  <si>
    <t>Not available anymore</t>
  </si>
  <si>
    <t>$26,100 if your are over 65 or blind and married.</t>
  </si>
  <si>
    <t>Max</t>
  </si>
  <si>
    <t>Min</t>
  </si>
  <si>
    <t>Federal Deductions</t>
  </si>
  <si>
    <t>Floor</t>
  </si>
  <si>
    <t>Tax Bracket</t>
  </si>
  <si>
    <t>Taxable Income</t>
  </si>
  <si>
    <t>Number of Dependents</t>
  </si>
  <si>
    <t>Number of Children</t>
  </si>
  <si>
    <t>401k Pre-Tax Contributions</t>
  </si>
  <si>
    <t>Fed Income Tax</t>
  </si>
  <si>
    <t>Property Tax</t>
  </si>
  <si>
    <t>Mortgage Interest</t>
  </si>
  <si>
    <t>Gross Income (combined)</t>
  </si>
  <si>
    <t>Itemized Deductions</t>
  </si>
  <si>
    <t>Withheld vs. What you owe</t>
  </si>
  <si>
    <t>Info from Paycheck</t>
  </si>
  <si>
    <t>General Deductions</t>
  </si>
  <si>
    <t>Use this  # ---v</t>
  </si>
  <si>
    <t>Source: https://michaelkummer.com/tech/spreadsheet-estimate-income-tax/</t>
  </si>
  <si>
    <r>
      <t xml:space="preserve">529 </t>
    </r>
    <r>
      <rPr>
        <sz val="11"/>
        <color theme="1"/>
        <rFont val="Calibri"/>
        <family val="2"/>
        <scheme val="minor"/>
      </rPr>
      <t>If you have children</t>
    </r>
  </si>
  <si>
    <t>Only use in years with low expected medical costs</t>
  </si>
  <si>
    <t>No. Kids</t>
  </si>
  <si>
    <t>Max per 529</t>
  </si>
  <si>
    <t>Savings Deductions</t>
  </si>
  <si>
    <t>Deductible investments</t>
  </si>
  <si>
    <t>Many Employers do not offer this, type 1 if yes, 0 for no</t>
  </si>
  <si>
    <t>1/0</t>
  </si>
  <si>
    <t>For high earining years, back door roth: open traditional IRA, max out, convert to roth IRA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</si>
  <si>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</si>
  <si>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</si>
  <si>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</si>
  <si>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</si>
  <si>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</si>
  <si>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</si>
  <si>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</si>
  <si>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</si>
  <si>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</si>
  <si>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</si>
  <si>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</si>
  <si>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</si>
  <si>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Janury_1 </t>
  </si>
  <si>
    <t>Janury_2</t>
  </si>
  <si>
    <t>February_1</t>
  </si>
  <si>
    <t>February_2</t>
  </si>
  <si>
    <t>March_1</t>
  </si>
  <si>
    <t>March_2</t>
  </si>
  <si>
    <t>April_1</t>
  </si>
  <si>
    <t>April_2</t>
  </si>
  <si>
    <t>May_1</t>
  </si>
  <si>
    <t>May_2</t>
  </si>
  <si>
    <t>June_1</t>
  </si>
  <si>
    <t>June_2</t>
  </si>
  <si>
    <t>July_1</t>
  </si>
  <si>
    <t>July_2</t>
  </si>
  <si>
    <t>August_1</t>
  </si>
  <si>
    <t>August_2</t>
  </si>
  <si>
    <t>September_1</t>
  </si>
  <si>
    <t>September_2</t>
  </si>
  <si>
    <t>October_1</t>
  </si>
  <si>
    <t>October_2</t>
  </si>
  <si>
    <t>November_1</t>
  </si>
  <si>
    <t>November_2</t>
  </si>
  <si>
    <t>December_1</t>
  </si>
  <si>
    <t>December_2</t>
  </si>
  <si>
    <t>Gross</t>
  </si>
  <si>
    <t>Fedreal</t>
  </si>
  <si>
    <t xml:space="preserve">Benefits </t>
  </si>
  <si>
    <t>Health</t>
  </si>
  <si>
    <t>Medical</t>
  </si>
  <si>
    <t>Dental</t>
  </si>
  <si>
    <t>Retirement</t>
  </si>
  <si>
    <t xml:space="preserve">Net </t>
  </si>
  <si>
    <t>`</t>
  </si>
  <si>
    <t>Estimated 2021</t>
  </si>
  <si>
    <t>State Income Tax</t>
  </si>
  <si>
    <t>Roth IRA</t>
  </si>
  <si>
    <t>Traditional IRA</t>
  </si>
  <si>
    <t>457 (b)</t>
  </si>
  <si>
    <t>HSA</t>
  </si>
  <si>
    <t>Normal Limit</t>
  </si>
  <si>
    <t>Account Plan</t>
  </si>
  <si>
    <t>403 (b)</t>
  </si>
  <si>
    <t>Single</t>
  </si>
  <si>
    <t>Age 50 Catch-up Limit</t>
  </si>
  <si>
    <t>Pre-Retirement Catch-up Limit</t>
  </si>
  <si>
    <t>Contribution Remaining</t>
  </si>
  <si>
    <t>X</t>
  </si>
  <si>
    <t>Pre Tax</t>
  </si>
  <si>
    <t xml:space="preserve">Single </t>
  </si>
  <si>
    <t>Married</t>
  </si>
  <si>
    <t>Children</t>
  </si>
  <si>
    <t>Dependents</t>
  </si>
  <si>
    <t>Yes</t>
  </si>
  <si>
    <t>No</t>
  </si>
  <si>
    <t xml:space="preserve">State </t>
  </si>
  <si>
    <t>Texas</t>
  </si>
  <si>
    <t>Tax Year</t>
  </si>
  <si>
    <t>Filing Type</t>
  </si>
  <si>
    <t>Yes_No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</si>
  <si>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</si>
  <si>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</si>
  <si>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</si>
  <si>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</si>
  <si>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</si>
  <si>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</si>
  <si>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</si>
  <si>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</si>
  <si>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</si>
  <si>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</si>
  <si>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</si>
  <si>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</si>
  <si>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</si>
  <si>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</si>
  <si>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</si>
  <si>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</si>
  <si>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</si>
  <si>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</si>
  <si>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</si>
  <si>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</si>
  <si>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</si>
  <si>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</si>
  <si>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</si>
  <si>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</si>
  <si>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</si>
  <si>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</si>
  <si>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</si>
  <si>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</si>
  <si>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</si>
  <si>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</si>
  <si>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</si>
  <si>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</si>
  <si>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</si>
  <si>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</si>
  <si>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</si>
  <si>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</si>
  <si>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</si>
  <si>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</si>
  <si>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</si>
  <si>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</si>
  <si>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</si>
  <si>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</si>
  <si>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Utah</t>
  </si>
  <si>
    <t>Vermont</t>
  </si>
  <si>
    <t>Virginia</t>
  </si>
  <si>
    <t>Washington</t>
  </si>
  <si>
    <t>West Virginia</t>
  </si>
  <si>
    <t>Wisconsin</t>
  </si>
  <si>
    <t>Wyoming</t>
  </si>
  <si>
    <t>State_List</t>
  </si>
  <si>
    <t>Number</t>
  </si>
  <si>
    <t>Married filing jointly</t>
  </si>
  <si>
    <t>Married filing separately</t>
  </si>
  <si>
    <t>Head of household</t>
  </si>
  <si>
    <t>Qualifying widow(er) with dependent child</t>
  </si>
  <si>
    <t>Filing Types</t>
  </si>
  <si>
    <t>Input 1</t>
  </si>
  <si>
    <t>Input 2</t>
  </si>
  <si>
    <t>Income 1</t>
  </si>
  <si>
    <t>Income 2</t>
  </si>
  <si>
    <t>Emergency Fund Length</t>
  </si>
  <si>
    <t>Savings Rate</t>
  </si>
  <si>
    <t>Disposable Rate</t>
  </si>
  <si>
    <t>Net Income</t>
  </si>
  <si>
    <t>Savings</t>
  </si>
  <si>
    <t>Disposable</t>
  </si>
  <si>
    <t>Cash Balance</t>
  </si>
  <si>
    <t>Buckets</t>
  </si>
  <si>
    <t>Amount</t>
  </si>
  <si>
    <t xml:space="preserve">Filled </t>
  </si>
  <si>
    <t>Budget Buckets</t>
  </si>
  <si>
    <t>In Place</t>
  </si>
  <si>
    <t>Running Buckets</t>
  </si>
  <si>
    <t>Running Cash</t>
  </si>
  <si>
    <t>Non-Taxable</t>
  </si>
  <si>
    <t>Tax Type</t>
  </si>
  <si>
    <t>Brokage Account</t>
  </si>
  <si>
    <t>Emergency Fund Goal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</si>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</sst>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-&quot;$&quot;* #,##0.00_-;\-&quot;$&quot;* #,##0.00_-;_-&quot;$&quot;* &quot;-&quot;??_-;_-@_-"/>
    <numFmt numFmtId="166" formatCode="_-&quot;$&quot;* #,##0_-;\-&quot;$&quot;* #,##0_-;_-&quot;$&quot;* &quot;-&quot;??_-;_-@_-"/>
    <numFmt numFmtId="167" formatCode="_(&quot;$&quot;* #,##0_);_(&quot;$&quot;* \(#,##0\);_(&quot;$&quot;* &quot;-&quot;??_);_(@_)"/>
    <numFmt numFmtId="168" formatCode="_(&quot;$&quot;* #,##0.000_);_(&quot;$&quot;* \(#,##0.000\);_(&quot;$&quot;* &quot;-&quot;?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trike/>
      <sz val="12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555555"/>
      <name val="Calibri"/>
      <family val="2"/>
      <scheme val="minor"/>
    </font>
    <font>
      <sz val="9"/>
      <color rgb="FF000000"/>
      <name val="Arial"/>
      <family val="2"/>
    </font>
    <font>
      <b/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/>
      <bottom style="medium">
        <color theme="4" tint="0.39997558519241921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 style="medium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 style="medium">
        <color theme="4" tint="0.39997558519241921"/>
      </top>
      <bottom style="thin">
        <color indexed="64"/>
      </bottom>
      <diagonal/>
    </border>
    <border>
      <left/>
      <right/>
      <top style="medium">
        <color theme="4" tint="0.39997558519241921"/>
      </top>
      <bottom/>
      <diagonal/>
    </border>
  </borders>
  <cellStyleXfs count="1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5" fillId="0" borderId="25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10" borderId="29" applyNumberFormat="0" applyAlignment="0" applyProtection="0"/>
    <xf numFmtId="0" fontId="21" fillId="11" borderId="30" applyNumberFormat="0" applyAlignment="0" applyProtection="0"/>
    <xf numFmtId="0" fontId="1" fillId="12" borderId="31" applyNumberFormat="0" applyFont="0" applyAlignment="0" applyProtection="0"/>
  </cellStyleXfs>
  <cellXfs count="222">
    <xf numFmtId="0" fontId="0" fillId="0" borderId="0" xfId="0"/>
    <xf numFmtId="9" fontId="0" fillId="0" borderId="0" xfId="2" applyFont="1"/>
    <xf numFmtId="10" fontId="0" fillId="0" borderId="0" xfId="2" applyNumberFormat="1" applyFont="1"/>
    <xf numFmtId="44" fontId="0" fillId="0" borderId="0" xfId="1" applyFont="1"/>
    <xf numFmtId="44" fontId="0" fillId="0" borderId="0" xfId="0" applyNumberFormat="1"/>
    <xf numFmtId="0" fontId="2" fillId="0" borderId="0" xfId="0" applyFont="1"/>
    <xf numFmtId="0" fontId="2" fillId="2" borderId="1" xfId="0" applyFont="1" applyFill="1" applyBorder="1"/>
    <xf numFmtId="9" fontId="0" fillId="0" borderId="0" xfId="0" applyNumberFormat="1"/>
    <xf numFmtId="9" fontId="2" fillId="2" borderId="1" xfId="0" applyNumberFormat="1" applyFont="1" applyFill="1" applyBorder="1"/>
    <xf numFmtId="9" fontId="0" fillId="0" borderId="0" xfId="0" applyNumberFormat="1" applyFill="1" applyBorder="1"/>
    <xf numFmtId="164" fontId="2" fillId="2" borderId="1" xfId="0" applyNumberFormat="1" applyFont="1" applyFill="1" applyBorder="1"/>
    <xf numFmtId="0" fontId="0" fillId="0" borderId="0" xfId="0" applyAlignment="1">
      <alignment horizontal="center"/>
    </xf>
    <xf numFmtId="44" fontId="0" fillId="0" borderId="3" xfId="1" applyFont="1" applyBorder="1"/>
    <xf numFmtId="44" fontId="0" fillId="0" borderId="4" xfId="1" applyFont="1" applyBorder="1"/>
    <xf numFmtId="0" fontId="2" fillId="3" borderId="1" xfId="0" applyFont="1" applyFill="1" applyBorder="1" applyAlignment="1">
      <alignment horizontal="center"/>
    </xf>
    <xf numFmtId="10" fontId="2" fillId="2" borderId="1" xfId="0" applyNumberFormat="1" applyFont="1" applyFill="1" applyBorder="1"/>
    <xf numFmtId="0" fontId="0" fillId="4" borderId="1" xfId="0" applyFill="1" applyBorder="1"/>
    <xf numFmtId="0" fontId="0" fillId="0" borderId="0" xfId="0" applyBorder="1"/>
    <xf numFmtId="0" fontId="2" fillId="0" borderId="0" xfId="0" applyFont="1" applyFill="1" applyBorder="1"/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44" fontId="0" fillId="5" borderId="1" xfId="1" applyFont="1" applyFill="1" applyBorder="1"/>
    <xf numFmtId="44" fontId="0" fillId="0" borderId="1" xfId="1" applyFont="1" applyFill="1" applyBorder="1"/>
    <xf numFmtId="44" fontId="0" fillId="3" borderId="1" xfId="1" applyFont="1" applyFill="1" applyBorder="1"/>
    <xf numFmtId="44" fontId="0" fillId="6" borderId="1" xfId="1" applyFont="1" applyFill="1" applyBorder="1"/>
    <xf numFmtId="8" fontId="0" fillId="0" borderId="0" xfId="0" applyNumberFormat="1"/>
    <xf numFmtId="44" fontId="0" fillId="3" borderId="2" xfId="1" applyFont="1" applyFill="1" applyBorder="1"/>
    <xf numFmtId="10" fontId="0" fillId="0" borderId="1" xfId="0" applyNumberFormat="1" applyBorder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0" xfId="0" applyFont="1" applyBorder="1"/>
    <xf numFmtId="9" fontId="2" fillId="2" borderId="2" xfId="0" applyNumberFormat="1" applyFont="1" applyFill="1" applyBorder="1"/>
    <xf numFmtId="44" fontId="2" fillId="2" borderId="1" xfId="1" applyFont="1" applyFill="1" applyBorder="1"/>
    <xf numFmtId="0" fontId="2" fillId="3" borderId="5" xfId="0" applyFont="1" applyFill="1" applyBorder="1" applyAlignment="1">
      <alignment horizontal="center"/>
    </xf>
    <xf numFmtId="0" fontId="4" fillId="0" borderId="0" xfId="3" applyAlignment="1">
      <alignment vertical="center"/>
    </xf>
    <xf numFmtId="2" fontId="5" fillId="0" borderId="0" xfId="3" applyNumberFormat="1" applyFont="1" applyAlignment="1">
      <alignment vertical="center"/>
    </xf>
    <xf numFmtId="0" fontId="5" fillId="0" borderId="0" xfId="3" applyFont="1" applyAlignment="1">
      <alignment vertical="center"/>
    </xf>
    <xf numFmtId="2" fontId="6" fillId="0" borderId="0" xfId="3" applyNumberFormat="1" applyFont="1" applyAlignment="1">
      <alignment vertical="center"/>
    </xf>
    <xf numFmtId="165" fontId="0" fillId="0" borderId="0" xfId="4" applyFont="1" applyAlignment="1">
      <alignment vertical="center"/>
    </xf>
    <xf numFmtId="6" fontId="7" fillId="0" borderId="0" xfId="3" applyNumberFormat="1" applyFont="1" applyAlignment="1">
      <alignment vertical="center"/>
    </xf>
    <xf numFmtId="0" fontId="7" fillId="0" borderId="0" xfId="3" applyFont="1" applyAlignment="1">
      <alignment vertical="center"/>
    </xf>
    <xf numFmtId="6" fontId="6" fillId="0" borderId="0" xfId="3" applyNumberFormat="1" applyFont="1" applyAlignment="1">
      <alignment vertical="center"/>
    </xf>
    <xf numFmtId="0" fontId="6" fillId="0" borderId="0" xfId="3" applyFont="1" applyAlignment="1">
      <alignment vertical="center"/>
    </xf>
    <xf numFmtId="9" fontId="0" fillId="0" borderId="0" xfId="5" applyFont="1" applyAlignment="1">
      <alignment vertical="center"/>
    </xf>
    <xf numFmtId="6" fontId="9" fillId="0" borderId="0" xfId="6" applyNumberFormat="1" applyFont="1" applyAlignment="1">
      <alignment vertical="center" wrapText="1"/>
    </xf>
    <xf numFmtId="6" fontId="10" fillId="0" borderId="0" xfId="3" applyNumberFormat="1" applyFont="1" applyAlignment="1">
      <alignment vertical="center" wrapText="1"/>
    </xf>
    <xf numFmtId="44" fontId="6" fillId="0" borderId="0" xfId="3" applyNumberFormat="1" applyFont="1" applyAlignment="1">
      <alignment vertical="center"/>
    </xf>
    <xf numFmtId="6" fontId="11" fillId="0" borderId="0" xfId="3" applyNumberFormat="1" applyFont="1" applyAlignment="1">
      <alignment vertical="center"/>
    </xf>
    <xf numFmtId="0" fontId="11" fillId="0" borderId="0" xfId="3" applyFont="1" applyAlignment="1">
      <alignment vertical="center"/>
    </xf>
    <xf numFmtId="165" fontId="6" fillId="0" borderId="0" xfId="3" applyNumberFormat="1" applyFont="1" applyAlignment="1">
      <alignment vertical="center"/>
    </xf>
    <xf numFmtId="164" fontId="6" fillId="0" borderId="0" xfId="3" applyNumberFormat="1" applyFont="1" applyAlignment="1">
      <alignment vertical="center"/>
    </xf>
    <xf numFmtId="165" fontId="9" fillId="0" borderId="0" xfId="6" applyNumberFormat="1" applyFont="1" applyAlignment="1">
      <alignment vertical="center"/>
    </xf>
    <xf numFmtId="0" fontId="11" fillId="0" borderId="0" xfId="3" applyFont="1" applyAlignment="1">
      <alignment horizontal="right" vertical="center"/>
    </xf>
    <xf numFmtId="166" fontId="11" fillId="0" borderId="0" xfId="4" applyNumberFormat="1" applyFont="1" applyAlignment="1">
      <alignment vertical="center"/>
    </xf>
    <xf numFmtId="6" fontId="12" fillId="0" borderId="0" xfId="3" applyNumberFormat="1" applyFont="1" applyAlignment="1">
      <alignment vertical="center"/>
    </xf>
    <xf numFmtId="0" fontId="12" fillId="0" borderId="0" xfId="3" applyFont="1" applyAlignment="1">
      <alignment vertical="center"/>
    </xf>
    <xf numFmtId="6" fontId="6" fillId="0" borderId="0" xfId="3" applyNumberFormat="1" applyFont="1" applyAlignment="1">
      <alignment vertical="center" wrapText="1"/>
    </xf>
    <xf numFmtId="165" fontId="7" fillId="0" borderId="0" xfId="4" applyFont="1" applyAlignment="1">
      <alignment vertical="center"/>
    </xf>
    <xf numFmtId="2" fontId="0" fillId="0" borderId="1" xfId="0" applyNumberFormat="1" applyBorder="1"/>
    <xf numFmtId="10" fontId="2" fillId="2" borderId="1" xfId="2" applyNumberFormat="1" applyFont="1" applyFill="1" applyBorder="1"/>
    <xf numFmtId="44" fontId="0" fillId="0" borderId="0" xfId="1" applyFont="1" applyBorder="1"/>
    <xf numFmtId="0" fontId="0" fillId="0" borderId="0" xfId="0" applyAlignment="1">
      <alignment wrapText="1"/>
    </xf>
    <xf numFmtId="44" fontId="0" fillId="0" borderId="0" xfId="0" applyNumberFormat="1" applyBorder="1"/>
    <xf numFmtId="44" fontId="0" fillId="0" borderId="7" xfId="0" applyNumberFormat="1" applyBorder="1"/>
    <xf numFmtId="0" fontId="0" fillId="0" borderId="9" xfId="0" applyBorder="1"/>
    <xf numFmtId="0" fontId="0" fillId="0" borderId="10" xfId="0" applyBorder="1"/>
    <xf numFmtId="44" fontId="0" fillId="0" borderId="10" xfId="0" applyNumberFormat="1" applyBorder="1"/>
    <xf numFmtId="44" fontId="0" fillId="0" borderId="11" xfId="0" applyNumberFormat="1" applyBorder="1"/>
    <xf numFmtId="0" fontId="0" fillId="0" borderId="12" xfId="0" applyBorder="1"/>
    <xf numFmtId="44" fontId="0" fillId="0" borderId="13" xfId="0" applyNumberFormat="1" applyBorder="1"/>
    <xf numFmtId="0" fontId="0" fillId="0" borderId="13" xfId="0" applyBorder="1"/>
    <xf numFmtId="9" fontId="2" fillId="2" borderId="14" xfId="0" applyNumberFormat="1" applyFont="1" applyFill="1" applyBorder="1"/>
    <xf numFmtId="0" fontId="0" fillId="0" borderId="15" xfId="0" applyBorder="1"/>
    <xf numFmtId="0" fontId="0" fillId="0" borderId="16" xfId="0" applyBorder="1"/>
    <xf numFmtId="44" fontId="0" fillId="0" borderId="16" xfId="0" applyNumberFormat="1" applyBorder="1"/>
    <xf numFmtId="44" fontId="0" fillId="0" borderId="17" xfId="0" applyNumberFormat="1" applyBorder="1"/>
    <xf numFmtId="0" fontId="2" fillId="0" borderId="0" xfId="0" applyFont="1" applyFill="1" applyBorder="1" applyAlignment="1">
      <alignment horizontal="center"/>
    </xf>
    <xf numFmtId="0" fontId="0" fillId="8" borderId="7" xfId="0" applyFill="1" applyBorder="1" applyAlignment="1">
      <alignment horizontal="left" wrapText="1"/>
    </xf>
    <xf numFmtId="44" fontId="2" fillId="0" borderId="0" xfId="1" applyFont="1" applyFill="1" applyBorder="1"/>
    <xf numFmtId="0" fontId="2" fillId="3" borderId="1" xfId="0" quotePrefix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165" fontId="6" fillId="7" borderId="18" xfId="4" applyFont="1" applyFill="1" applyBorder="1" applyAlignment="1">
      <alignment vertical="center"/>
    </xf>
    <xf numFmtId="165" fontId="6" fillId="7" borderId="19" xfId="4" applyFont="1" applyFill="1" applyBorder="1" applyAlignment="1">
      <alignment vertical="center"/>
    </xf>
    <xf numFmtId="9" fontId="6" fillId="7" borderId="19" xfId="5" applyFont="1" applyFill="1" applyBorder="1" applyAlignment="1">
      <alignment vertical="center"/>
    </xf>
    <xf numFmtId="0" fontId="6" fillId="7" borderId="20" xfId="3" applyFont="1" applyFill="1" applyBorder="1" applyAlignment="1">
      <alignment vertical="center"/>
    </xf>
    <xf numFmtId="165" fontId="6" fillId="7" borderId="21" xfId="4" applyFont="1" applyFill="1" applyBorder="1" applyAlignment="1">
      <alignment vertical="center"/>
    </xf>
    <xf numFmtId="165" fontId="6" fillId="7" borderId="0" xfId="4" applyFont="1" applyFill="1" applyBorder="1" applyAlignment="1">
      <alignment vertical="center"/>
    </xf>
    <xf numFmtId="9" fontId="6" fillId="7" borderId="0" xfId="5" applyFont="1" applyFill="1" applyBorder="1" applyAlignment="1">
      <alignment vertical="center"/>
    </xf>
    <xf numFmtId="44" fontId="6" fillId="7" borderId="8" xfId="3" applyNumberFormat="1" applyFont="1" applyFill="1" applyBorder="1" applyAlignment="1">
      <alignment vertical="center"/>
    </xf>
    <xf numFmtId="165" fontId="0" fillId="7" borderId="22" xfId="4" applyFont="1" applyFill="1" applyBorder="1" applyAlignment="1">
      <alignment vertical="center"/>
    </xf>
    <xf numFmtId="165" fontId="6" fillId="7" borderId="23" xfId="3" applyNumberFormat="1" applyFont="1" applyFill="1" applyBorder="1" applyAlignment="1">
      <alignment vertical="center"/>
    </xf>
    <xf numFmtId="164" fontId="0" fillId="7" borderId="23" xfId="5" applyNumberFormat="1" applyFont="1" applyFill="1" applyBorder="1" applyAlignment="1">
      <alignment vertical="center"/>
    </xf>
    <xf numFmtId="44" fontId="6" fillId="7" borderId="24" xfId="3" applyNumberFormat="1" applyFont="1" applyFill="1" applyBorder="1" applyAlignment="1">
      <alignment vertical="center"/>
    </xf>
    <xf numFmtId="6" fontId="6" fillId="7" borderId="2" xfId="3" applyNumberFormat="1" applyFont="1" applyFill="1" applyBorder="1" applyAlignment="1">
      <alignment vertical="center"/>
    </xf>
    <xf numFmtId="6" fontId="6" fillId="7" borderId="3" xfId="3" applyNumberFormat="1" applyFont="1" applyFill="1" applyBorder="1" applyAlignment="1">
      <alignment vertical="center"/>
    </xf>
    <xf numFmtId="6" fontId="6" fillId="7" borderId="4" xfId="3" applyNumberFormat="1" applyFont="1" applyFill="1" applyBorder="1" applyAlignment="1">
      <alignment vertical="center"/>
    </xf>
    <xf numFmtId="165" fontId="6" fillId="7" borderId="18" xfId="3" applyNumberFormat="1" applyFont="1" applyFill="1" applyBorder="1" applyAlignment="1">
      <alignment vertical="center"/>
    </xf>
    <xf numFmtId="165" fontId="6" fillId="7" borderId="19" xfId="3" applyNumberFormat="1" applyFont="1" applyFill="1" applyBorder="1" applyAlignment="1">
      <alignment vertical="center"/>
    </xf>
    <xf numFmtId="164" fontId="6" fillId="7" borderId="19" xfId="3" applyNumberFormat="1" applyFont="1" applyFill="1" applyBorder="1" applyAlignment="1">
      <alignment vertical="center"/>
    </xf>
    <xf numFmtId="165" fontId="6" fillId="7" borderId="20" xfId="3" applyNumberFormat="1" applyFont="1" applyFill="1" applyBorder="1" applyAlignment="1">
      <alignment vertical="center"/>
    </xf>
    <xf numFmtId="165" fontId="6" fillId="7" borderId="21" xfId="3" applyNumberFormat="1" applyFont="1" applyFill="1" applyBorder="1" applyAlignment="1">
      <alignment vertical="center"/>
    </xf>
    <xf numFmtId="165" fontId="6" fillId="7" borderId="0" xfId="3" applyNumberFormat="1" applyFont="1" applyFill="1" applyBorder="1" applyAlignment="1">
      <alignment vertical="center"/>
    </xf>
    <xf numFmtId="164" fontId="6" fillId="7" borderId="0" xfId="3" applyNumberFormat="1" applyFont="1" applyFill="1" applyBorder="1" applyAlignment="1">
      <alignment vertical="center"/>
    </xf>
    <xf numFmtId="165" fontId="6" fillId="7" borderId="8" xfId="3" applyNumberFormat="1" applyFont="1" applyFill="1" applyBorder="1" applyAlignment="1">
      <alignment vertical="center"/>
    </xf>
    <xf numFmtId="165" fontId="6" fillId="7" borderId="22" xfId="3" applyNumberFormat="1" applyFont="1" applyFill="1" applyBorder="1" applyAlignment="1">
      <alignment vertical="center"/>
    </xf>
    <xf numFmtId="164" fontId="6" fillId="7" borderId="23" xfId="3" applyNumberFormat="1" applyFont="1" applyFill="1" applyBorder="1" applyAlignment="1">
      <alignment vertical="center"/>
    </xf>
    <xf numFmtId="165" fontId="6" fillId="7" borderId="24" xfId="3" applyNumberFormat="1" applyFont="1" applyFill="1" applyBorder="1" applyAlignment="1">
      <alignment vertical="center"/>
    </xf>
    <xf numFmtId="0" fontId="17" fillId="0" borderId="0" xfId="9" applyFont="1"/>
    <xf numFmtId="0" fontId="18" fillId="0" borderId="25" xfId="7" applyNumberFormat="1" applyFont="1" applyAlignment="1">
      <alignment horizontal="center" vertical="center"/>
    </xf>
    <xf numFmtId="16" fontId="18" fillId="0" borderId="25" xfId="7" applyNumberFormat="1" applyFont="1" applyAlignment="1">
      <alignment horizontal="center" vertical="center"/>
    </xf>
    <xf numFmtId="0" fontId="18" fillId="0" borderId="25" xfId="7" applyFont="1" applyAlignment="1">
      <alignment horizontal="center" vertical="center"/>
    </xf>
    <xf numFmtId="0" fontId="18" fillId="0" borderId="26" xfId="7" applyFont="1" applyBorder="1" applyAlignment="1">
      <alignment horizontal="center" vertical="center"/>
    </xf>
    <xf numFmtId="44" fontId="17" fillId="0" borderId="0" xfId="9" applyNumberFormat="1" applyFont="1"/>
    <xf numFmtId="0" fontId="19" fillId="0" borderId="23" xfId="9" applyFont="1" applyBorder="1"/>
    <xf numFmtId="44" fontId="17" fillId="0" borderId="23" xfId="1" applyFont="1" applyBorder="1"/>
    <xf numFmtId="44" fontId="17" fillId="0" borderId="22" xfId="1" applyFont="1" applyBorder="1"/>
    <xf numFmtId="44" fontId="17" fillId="0" borderId="0" xfId="1" applyFont="1"/>
    <xf numFmtId="0" fontId="19" fillId="0" borderId="0" xfId="9" applyFont="1"/>
    <xf numFmtId="44" fontId="17" fillId="0" borderId="21" xfId="1" applyFont="1" applyBorder="1"/>
    <xf numFmtId="9" fontId="17" fillId="0" borderId="0" xfId="10" applyFont="1"/>
    <xf numFmtId="44" fontId="17" fillId="0" borderId="0" xfId="10" applyNumberFormat="1" applyFont="1"/>
    <xf numFmtId="0" fontId="19" fillId="0" borderId="0" xfId="9" applyFont="1" applyAlignment="1">
      <alignment horizontal="left" indent="1"/>
    </xf>
    <xf numFmtId="44" fontId="17" fillId="0" borderId="0" xfId="1" applyFont="1" applyBorder="1"/>
    <xf numFmtId="0" fontId="17" fillId="0" borderId="21" xfId="9" applyFont="1" applyBorder="1"/>
    <xf numFmtId="0" fontId="19" fillId="0" borderId="23" xfId="9" applyFont="1" applyBorder="1" applyAlignment="1">
      <alignment horizontal="left"/>
    </xf>
    <xf numFmtId="44" fontId="17" fillId="0" borderId="23" xfId="9" applyNumberFormat="1" applyFont="1" applyBorder="1"/>
    <xf numFmtId="44" fontId="17" fillId="0" borderId="22" xfId="9" applyNumberFormat="1" applyFont="1" applyBorder="1"/>
    <xf numFmtId="0" fontId="17" fillId="0" borderId="27" xfId="9" applyFont="1" applyBorder="1"/>
    <xf numFmtId="44" fontId="17" fillId="0" borderId="27" xfId="9" applyNumberFormat="1" applyFont="1" applyBorder="1"/>
    <xf numFmtId="44" fontId="17" fillId="0" borderId="28" xfId="9" applyNumberFormat="1" applyFont="1" applyBorder="1"/>
    <xf numFmtId="167" fontId="17" fillId="0" borderId="0" xfId="1" applyNumberFormat="1" applyFont="1"/>
    <xf numFmtId="10" fontId="17" fillId="0" borderId="0" xfId="10" applyNumberFormat="1" applyFont="1"/>
    <xf numFmtId="10" fontId="17" fillId="0" borderId="21" xfId="10" applyNumberFormat="1" applyFont="1" applyBorder="1"/>
    <xf numFmtId="10" fontId="17" fillId="0" borderId="23" xfId="10" applyNumberFormat="1" applyFont="1" applyBorder="1"/>
    <xf numFmtId="10" fontId="17" fillId="0" borderId="22" xfId="10" applyNumberFormat="1" applyFont="1" applyBorder="1"/>
    <xf numFmtId="10" fontId="17" fillId="0" borderId="0" xfId="10" applyNumberFormat="1" applyFont="1" applyBorder="1"/>
    <xf numFmtId="10" fontId="17" fillId="0" borderId="27" xfId="10" applyNumberFormat="1" applyFont="1" applyBorder="1"/>
    <xf numFmtId="10" fontId="17" fillId="0" borderId="28" xfId="10" applyNumberFormat="1" applyFont="1" applyBorder="1"/>
    <xf numFmtId="168" fontId="17" fillId="0" borderId="0" xfId="9" applyNumberFormat="1" applyFont="1"/>
    <xf numFmtId="44" fontId="6" fillId="0" borderId="0" xfId="1" applyFont="1" applyAlignment="1">
      <alignment vertical="center"/>
    </xf>
    <xf numFmtId="44" fontId="4" fillId="0" borderId="0" xfId="1" applyFont="1" applyAlignment="1">
      <alignment vertical="center"/>
    </xf>
    <xf numFmtId="44" fontId="7" fillId="0" borderId="0" xfId="1" applyFont="1" applyAlignment="1">
      <alignment vertical="center"/>
    </xf>
    <xf numFmtId="0" fontId="15" fillId="0" borderId="0" xfId="8" applyAlignment="1">
      <alignment horizontal="left"/>
    </xf>
    <xf numFmtId="0" fontId="0" fillId="0" borderId="0" xfId="0" applyAlignment="1"/>
    <xf numFmtId="0" fontId="15" fillId="0" borderId="0" xfId="8" applyAlignment="1"/>
    <xf numFmtId="44" fontId="15" fillId="0" borderId="0" xfId="1" applyFont="1" applyBorder="1" applyAlignment="1">
      <alignment horizontal="center" vertical="center"/>
    </xf>
    <xf numFmtId="44" fontId="0" fillId="0" borderId="0" xfId="1" applyNumberFormat="1" applyFont="1"/>
    <xf numFmtId="0" fontId="18" fillId="0" borderId="32" xfId="7" applyFont="1" applyBorder="1" applyAlignment="1">
      <alignment horizontal="center" vertical="center"/>
    </xf>
    <xf numFmtId="0" fontId="6" fillId="0" borderId="23" xfId="3" applyFont="1" applyBorder="1" applyAlignment="1">
      <alignment vertical="center"/>
    </xf>
    <xf numFmtId="44" fontId="6" fillId="0" borderId="23" xfId="1" applyFont="1" applyBorder="1" applyAlignment="1">
      <alignment vertical="center"/>
    </xf>
    <xf numFmtId="0" fontId="15" fillId="0" borderId="0" xfId="8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left"/>
    </xf>
    <xf numFmtId="0" fontId="0" fillId="0" borderId="0" xfId="0" applyAlignment="1">
      <alignment horizontal="left"/>
    </xf>
    <xf numFmtId="167" fontId="15" fillId="0" borderId="21" xfId="1" applyNumberFormat="1" applyFont="1" applyBorder="1" applyAlignment="1">
      <alignment horizontal="left"/>
    </xf>
    <xf numFmtId="167" fontId="15" fillId="0" borderId="0" xfId="1" applyNumberFormat="1" applyFont="1" applyAlignment="1">
      <alignment horizontal="left"/>
    </xf>
    <xf numFmtId="167" fontId="15" fillId="0" borderId="8" xfId="1" applyNumberFormat="1" applyFont="1" applyBorder="1" applyAlignment="1">
      <alignment horizontal="left"/>
    </xf>
    <xf numFmtId="167" fontId="15" fillId="0" borderId="0" xfId="1" applyNumberFormat="1" applyFont="1" applyBorder="1" applyAlignment="1">
      <alignment horizontal="left" vertical="center"/>
    </xf>
    <xf numFmtId="167" fontId="15" fillId="0" borderId="8" xfId="1" applyNumberFormat="1" applyFont="1" applyBorder="1" applyAlignment="1">
      <alignment horizontal="left" vertical="center"/>
    </xf>
    <xf numFmtId="167" fontId="0" fillId="0" borderId="21" xfId="0" applyNumberFormat="1" applyBorder="1" applyAlignment="1">
      <alignment horizontal="left"/>
    </xf>
    <xf numFmtId="167" fontId="0" fillId="0" borderId="0" xfId="1" applyNumberFormat="1" applyFont="1" applyBorder="1" applyAlignment="1">
      <alignment horizontal="left"/>
    </xf>
    <xf numFmtId="167" fontId="0" fillId="0" borderId="8" xfId="1" applyNumberFormat="1" applyFont="1" applyBorder="1" applyAlignment="1">
      <alignment horizontal="left"/>
    </xf>
    <xf numFmtId="167" fontId="0" fillId="0" borderId="0" xfId="1" applyNumberFormat="1" applyFont="1" applyAlignment="1">
      <alignment horizontal="left"/>
    </xf>
    <xf numFmtId="167" fontId="0" fillId="0" borderId="0" xfId="0" applyNumberFormat="1" applyAlignment="1">
      <alignment horizontal="left"/>
    </xf>
    <xf numFmtId="167" fontId="0" fillId="0" borderId="8" xfId="0" applyNumberFormat="1" applyBorder="1" applyAlignment="1">
      <alignment horizontal="left"/>
    </xf>
    <xf numFmtId="167" fontId="15" fillId="0" borderId="21" xfId="1" applyNumberFormat="1" applyFont="1" applyBorder="1" applyAlignment="1">
      <alignment horizontal="left" vertical="center"/>
    </xf>
    <xf numFmtId="0" fontId="18" fillId="0" borderId="34" xfId="7" applyFont="1" applyBorder="1" applyAlignment="1">
      <alignment horizontal="center" vertical="center"/>
    </xf>
    <xf numFmtId="167" fontId="0" fillId="0" borderId="35" xfId="0" applyNumberFormat="1" applyBorder="1" applyAlignment="1">
      <alignment horizontal="left"/>
    </xf>
    <xf numFmtId="167" fontId="0" fillId="0" borderId="34" xfId="0" applyNumberFormat="1" applyBorder="1" applyAlignment="1">
      <alignment horizontal="left"/>
    </xf>
    <xf numFmtId="167" fontId="0" fillId="0" borderId="33" xfId="0" applyNumberFormat="1" applyBorder="1" applyAlignment="1">
      <alignment horizontal="left"/>
    </xf>
    <xf numFmtId="167" fontId="15" fillId="0" borderId="33" xfId="1" applyNumberFormat="1" applyFont="1" applyBorder="1" applyAlignment="1">
      <alignment horizontal="left" vertical="center"/>
    </xf>
    <xf numFmtId="0" fontId="20" fillId="10" borderId="29" xfId="12"/>
    <xf numFmtId="0" fontId="15" fillId="0" borderId="25" xfId="7"/>
    <xf numFmtId="0" fontId="15" fillId="0" borderId="25" xfId="7" applyAlignment="1">
      <alignment horizontal="center"/>
    </xf>
    <xf numFmtId="0" fontId="15" fillId="0" borderId="25" xfId="7" applyAlignment="1">
      <alignment horizontal="center" vertical="center"/>
    </xf>
    <xf numFmtId="0" fontId="20" fillId="10" borderId="29" xfId="12" applyAlignment="1">
      <alignment horizontal="center" vertical="center"/>
    </xf>
    <xf numFmtId="9" fontId="20" fillId="10" borderId="29" xfId="2" applyFont="1" applyFill="1" applyBorder="1" applyAlignment="1">
      <alignment horizontal="center" vertical="center"/>
    </xf>
    <xf numFmtId="0" fontId="15" fillId="0" borderId="0" xfId="8"/>
    <xf numFmtId="0" fontId="11" fillId="0" borderId="0" xfId="3" applyFont="1" applyAlignment="1">
      <alignment horizontal="center" vertical="center"/>
    </xf>
    <xf numFmtId="0" fontId="4" fillId="0" borderId="0" xfId="3" applyAlignment="1">
      <alignment horizontal="center" vertical="center"/>
    </xf>
    <xf numFmtId="6" fontId="6" fillId="0" borderId="0" xfId="3" applyNumberFormat="1" applyFont="1" applyAlignment="1">
      <alignment horizontal="center" vertical="center"/>
    </xf>
    <xf numFmtId="0" fontId="7" fillId="0" borderId="0" xfId="3" applyFont="1" applyAlignment="1">
      <alignment horizontal="center" vertical="center"/>
    </xf>
    <xf numFmtId="16" fontId="11" fillId="0" borderId="0" xfId="3" applyNumberFormat="1" applyFont="1" applyAlignment="1">
      <alignment horizontal="center" vertical="center"/>
    </xf>
    <xf numFmtId="6" fontId="7" fillId="0" borderId="0" xfId="3" applyNumberFormat="1" applyFont="1" applyAlignment="1">
      <alignment horizontal="center" vertical="center"/>
    </xf>
    <xf numFmtId="9" fontId="20" fillId="10" borderId="29" xfId="12" applyNumberFormat="1" applyAlignment="1">
      <alignment horizontal="center" vertical="center"/>
    </xf>
    <xf numFmtId="44" fontId="4" fillId="0" borderId="0" xfId="1" applyFont="1" applyAlignment="1">
      <alignment horizontal="center" vertical="center"/>
    </xf>
    <xf numFmtId="43" fontId="4" fillId="0" borderId="0" xfId="11" applyFont="1" applyAlignment="1">
      <alignment horizontal="center" vertical="center"/>
    </xf>
    <xf numFmtId="0" fontId="15" fillId="0" borderId="25" xfId="7" applyAlignment="1">
      <alignment horizontal="left"/>
    </xf>
    <xf numFmtId="0" fontId="4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15" fillId="0" borderId="25" xfId="7" applyFont="1" applyBorder="1" applyAlignment="1">
      <alignment horizontal="left"/>
    </xf>
    <xf numFmtId="44" fontId="0" fillId="0" borderId="23" xfId="0" applyNumberFormat="1" applyBorder="1"/>
    <xf numFmtId="44" fontId="0" fillId="0" borderId="27" xfId="0" applyNumberFormat="1" applyBorder="1"/>
    <xf numFmtId="0" fontId="15" fillId="0" borderId="26" xfId="7" applyBorder="1"/>
    <xf numFmtId="44" fontId="0" fillId="0" borderId="21" xfId="0" applyNumberFormat="1" applyBorder="1"/>
    <xf numFmtId="44" fontId="0" fillId="0" borderId="37" xfId="0" applyNumberFormat="1" applyBorder="1"/>
    <xf numFmtId="44" fontId="0" fillId="0" borderId="38" xfId="0" applyNumberFormat="1" applyBorder="1"/>
    <xf numFmtId="44" fontId="0" fillId="0" borderId="22" xfId="0" applyNumberFormat="1" applyBorder="1"/>
    <xf numFmtId="44" fontId="0" fillId="0" borderId="28" xfId="0" applyNumberFormat="1" applyBorder="1"/>
    <xf numFmtId="165" fontId="6" fillId="12" borderId="1" xfId="14" applyNumberFormat="1" applyFont="1" applyBorder="1" applyAlignment="1">
      <alignment vertical="center"/>
    </xf>
    <xf numFmtId="0" fontId="4" fillId="0" borderId="0" xfId="3"/>
    <xf numFmtId="10" fontId="5" fillId="0" borderId="0" xfId="2" applyNumberFormat="1" applyFont="1" applyAlignment="1">
      <alignment vertical="center"/>
    </xf>
    <xf numFmtId="0" fontId="15" fillId="0" borderId="25" xfId="7" applyFill="1" applyAlignment="1">
      <alignment horizontal="center" vertical="center"/>
    </xf>
    <xf numFmtId="167" fontId="24" fillId="10" borderId="1" xfId="1" applyNumberFormat="1" applyFont="1" applyFill="1" applyBorder="1"/>
    <xf numFmtId="167" fontId="24" fillId="10" borderId="1" xfId="12" applyNumberFormat="1" applyFont="1" applyBorder="1"/>
    <xf numFmtId="167" fontId="21" fillId="11" borderId="1" xfId="13" applyNumberFormat="1" applyFont="1" applyBorder="1"/>
    <xf numFmtId="0" fontId="0" fillId="0" borderId="39" xfId="0" applyBorder="1"/>
    <xf numFmtId="0" fontId="0" fillId="0" borderId="3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4" fontId="0" fillId="0" borderId="39" xfId="1" applyFont="1" applyBorder="1"/>
    <xf numFmtId="0" fontId="20" fillId="10" borderId="36" xfId="12" applyBorder="1"/>
    <xf numFmtId="44" fontId="4" fillId="0" borderId="0" xfId="3" applyNumberFormat="1" applyAlignment="1">
      <alignment vertic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left" wrapText="1"/>
    </xf>
    <xf numFmtId="0" fontId="0" fillId="9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2" fillId="8" borderId="0" xfId="0" applyFont="1" applyFill="1" applyAlignment="1">
      <alignment horizontal="center"/>
    </xf>
  </cellXfs>
  <cellStyles count="15">
    <cellStyle name="Comma" xfId="11" builtinId="3"/>
    <cellStyle name="Currency" xfId="1" builtinId="4"/>
    <cellStyle name="Currency 2" xfId="4" xr:uid="{97D34550-0880-4476-9CF4-8EBE4E529EDF}"/>
    <cellStyle name="Heading 3" xfId="7" builtinId="18"/>
    <cellStyle name="Heading 4" xfId="8" builtinId="19"/>
    <cellStyle name="Hyperlink" xfId="6" builtinId="8"/>
    <cellStyle name="Input" xfId="12" builtinId="20"/>
    <cellStyle name="Normal" xfId="0" builtinId="0"/>
    <cellStyle name="Normal 2" xfId="3" xr:uid="{2967582D-976B-473C-A026-96F9B7287DDA}"/>
    <cellStyle name="Normal 3" xfId="9" xr:uid="{246120F0-FDAA-410F-B36D-884D7301DE65}"/>
    <cellStyle name="Note" xfId="14" builtinId="10"/>
    <cellStyle name="Output" xfId="13" builtinId="21"/>
    <cellStyle name="Percent" xfId="2" builtinId="5"/>
    <cellStyle name="Percent 2" xfId="5" xr:uid="{0BD8C2B6-42E9-450A-91A6-317D86DF659E}"/>
    <cellStyle name="Percent 3" xfId="10" xr:uid="{CD437ADC-BB36-4C56-99D0-F8306D266848}"/>
  </cellStyles>
  <dxfs count="18"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left" vertical="bottom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left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alignment horizontal="lef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mes Rhodes" id="{F1077237-AB74-4F8A-B0EB-4BAC15D744C0}" userId="9e5d4ed6c50cf336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FA7062-B1E5-45B0-922D-E8099B800D06}" name="Sttate" displayName="Sttate" ref="A1:A51" totalsRowShown="0" headerRowDxfId="16" dataDxfId="14" headerRowBorderDxfId="15" headerRowCellStyle="Heading 3">
  <autoFilter ref="A1:A51" xr:uid="{A9CA22A2-EA65-4337-92DB-E79B8ABBF6AF}"/>
  <tableColumns count="1">
    <tableColumn id="1" xr3:uid="{D90136BB-CD55-4C1F-A50D-B6C1AF1A2FE1}" name="State_List" dataDxfId="13"/>
  </tableColumns>
  <tableStyleInfo name="TableStyleLight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0F81DA-5643-4DFA-859D-92A677B70D39}" name="Yes_No" displayName="Yes_No" ref="C1:C3" totalsRowShown="0" headerRowDxfId="12" dataDxfId="10" headerRowBorderDxfId="11" headerRowCellStyle="Heading 3">
  <autoFilter ref="C1:C3" xr:uid="{E78AE03A-3FA7-4407-9C98-BD9ACFA0767F}"/>
  <tableColumns count="1">
    <tableColumn id="1" xr3:uid="{81478066-6B14-42F0-AA31-8317DA381717}" name="Yes_No" dataDxfId="9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4A4785E-79ED-4F0F-8306-409E725B46D1}" name="Number" displayName="Number" ref="E1:E19" totalsRowShown="0" headerRowDxfId="8" dataDxfId="7" headerRowCellStyle="Heading 3">
  <autoFilter ref="E1:E19" xr:uid="{D71A0958-F503-4E1C-A0CA-4DCE0785F068}"/>
  <tableColumns count="1">
    <tableColumn id="1" xr3:uid="{72B91770-AC90-48D3-B637-290C4E102FF9}" name="Number" dataDxfId="6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2165D6-C772-4E6A-A2A6-29147F1D29D9}" name="Table6" displayName="Table6" ref="G1:G6" totalsRowShown="0" headerRowDxfId="5" dataDxfId="3" headerRowBorderDxfId="4" tableBorderDxfId="2" headerRowCellStyle="Heading 3">
  <autoFilter ref="G1:G6" xr:uid="{88D8BDE6-1011-4EC1-9171-C116BA206D00}"/>
  <tableColumns count="1">
    <tableColumn id="1" xr3:uid="{50EDF7FF-C77C-4377-93CF-65569542C1BE}" name="Filing Types" data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33" dT="2021-05-21T14:41:50.85" personId="{F1077237-AB74-4F8A-B0EB-4BAC15D744C0}" id="{9B368A06-24D4-47BF-AB1B-14BBEFEB1F85}">
    <text>Need to figure out formula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taxfoundation.org/2019-tax-brackets/" TargetMode="External"/><Relationship Id="rId1" Type="http://schemas.openxmlformats.org/officeDocument/2006/relationships/hyperlink" Target="https://www.tax-brackets.org/georgiataxtable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taxfoundation.org/2019-tax-brackets/" TargetMode="External"/><Relationship Id="rId1" Type="http://schemas.openxmlformats.org/officeDocument/2006/relationships/hyperlink" Target="https://www.tax-brackets.org/georgiataxtable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25011-4E81-4E42-9DFB-FA94DF183C4D}">
  <dimension ref="A1:D12"/>
  <sheetViews>
    <sheetView workbookViewId="0">
      <selection activeCell="F13" sqref="F13"/>
    </sheetView>
  </sheetViews>
  <sheetFormatPr defaultRowHeight="15" x14ac:dyDescent="0.25"/>
  <cols>
    <col min="1" max="1" width="22.42578125" bestFit="1" customWidth="1"/>
    <col min="2" max="3" width="19.42578125" bestFit="1" customWidth="1"/>
    <col min="4" max="4" width="12.5703125" bestFit="1" customWidth="1"/>
  </cols>
  <sheetData>
    <row r="1" spans="1:4" ht="15.75" thickBot="1" x14ac:dyDescent="0.3">
      <c r="B1" s="175" t="s">
        <v>226</v>
      </c>
      <c r="C1" s="175" t="s">
        <v>227</v>
      </c>
    </row>
    <row r="2" spans="1:4" x14ac:dyDescent="0.25">
      <c r="A2" s="178" t="s">
        <v>167</v>
      </c>
      <c r="B2" s="176">
        <v>2021</v>
      </c>
      <c r="C2" s="176">
        <v>2021</v>
      </c>
    </row>
    <row r="3" spans="1:4" x14ac:dyDescent="0.25">
      <c r="A3" s="178" t="s">
        <v>39</v>
      </c>
      <c r="B3" s="176">
        <v>32</v>
      </c>
      <c r="C3" s="176">
        <v>29</v>
      </c>
    </row>
    <row r="4" spans="1:4" x14ac:dyDescent="0.25">
      <c r="A4" s="178" t="s">
        <v>159</v>
      </c>
      <c r="B4" s="176" t="s">
        <v>164</v>
      </c>
      <c r="C4" s="176" t="s">
        <v>164</v>
      </c>
    </row>
    <row r="5" spans="1:4" x14ac:dyDescent="0.25">
      <c r="A5" s="178" t="s">
        <v>160</v>
      </c>
      <c r="B5" s="176" t="s">
        <v>163</v>
      </c>
      <c r="C5" s="176" t="s">
        <v>163</v>
      </c>
    </row>
    <row r="6" spans="1:4" x14ac:dyDescent="0.25">
      <c r="A6" s="178" t="s">
        <v>161</v>
      </c>
      <c r="B6" s="176" t="s">
        <v>163</v>
      </c>
      <c r="C6" s="176" t="s">
        <v>163</v>
      </c>
      <c r="D6" s="176">
        <v>1</v>
      </c>
    </row>
    <row r="7" spans="1:4" x14ac:dyDescent="0.25">
      <c r="A7" s="178" t="s">
        <v>162</v>
      </c>
      <c r="B7" s="176" t="s">
        <v>164</v>
      </c>
      <c r="C7" s="176" t="s">
        <v>164</v>
      </c>
      <c r="D7" s="176"/>
    </row>
    <row r="8" spans="1:4" x14ac:dyDescent="0.25">
      <c r="A8" s="178" t="s">
        <v>165</v>
      </c>
      <c r="B8" s="176" t="s">
        <v>166</v>
      </c>
      <c r="C8" s="176" t="s">
        <v>166</v>
      </c>
      <c r="D8" s="185"/>
    </row>
    <row r="9" spans="1:4" x14ac:dyDescent="0.25">
      <c r="A9" s="178" t="s">
        <v>168</v>
      </c>
      <c r="B9" s="176" t="s">
        <v>221</v>
      </c>
      <c r="C9" s="176" t="s">
        <v>221</v>
      </c>
      <c r="D9" s="185"/>
    </row>
    <row r="10" spans="1:4" x14ac:dyDescent="0.25">
      <c r="A10" s="178" t="s">
        <v>230</v>
      </c>
      <c r="B10" s="172"/>
      <c r="C10" s="172"/>
      <c r="D10" s="176">
        <v>6</v>
      </c>
    </row>
    <row r="11" spans="1:4" x14ac:dyDescent="0.25">
      <c r="A11" s="178" t="s">
        <v>231</v>
      </c>
      <c r="B11" s="172"/>
      <c r="C11" s="172"/>
      <c r="D11" s="177">
        <v>0.2</v>
      </c>
    </row>
    <row r="12" spans="1:4" x14ac:dyDescent="0.25">
      <c r="A12" s="178" t="s">
        <v>232</v>
      </c>
      <c r="B12" s="172"/>
      <c r="C12" s="172"/>
      <c r="D12" s="185">
        <f>1-D11</f>
        <v>0.8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operator="equal" allowBlank="1" showInputMessage="1" showErrorMessage="1" xr:uid="{F28A99EA-61AF-4071-A35E-A1FAF462337A}">
          <x14:formula1>
            <xm:f>Tables!$C$2:$C$3</xm:f>
          </x14:formula1>
          <xm:sqref>B4:C7</xm:sqref>
        </x14:dataValidation>
        <x14:dataValidation type="list" allowBlank="1" showInputMessage="1" showErrorMessage="1" xr:uid="{A0903E6B-A2AE-4A7A-8EAC-C926F2E80E44}">
          <x14:formula1>
            <xm:f>Tables!$A$2:$A$51</xm:f>
          </x14:formula1>
          <xm:sqref>B8:C8</xm:sqref>
        </x14:dataValidation>
        <x14:dataValidation type="list" allowBlank="1" showInputMessage="1" showErrorMessage="1" xr:uid="{4866CD26-8AAF-419C-8A45-6C53F58B8B9C}">
          <x14:formula1>
            <xm:f>Tables!$E$2:$E$19</xm:f>
          </x14:formula1>
          <xm:sqref>D6:D7 D10</xm:sqref>
        </x14:dataValidation>
        <x14:dataValidation type="list" allowBlank="1" showInputMessage="1" showErrorMessage="1" xr:uid="{A5754AAE-BF4F-48BD-A77B-3F43793FA562}">
          <x14:formula1>
            <xm:f>Tables!$G$2:$G$6</xm:f>
          </x14:formula1>
          <xm:sqref>B9:C9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06B9D-7522-4D35-8E1E-1874B18B9F88}">
  <dimension ref="A1:G51"/>
  <sheetViews>
    <sheetView workbookViewId="0">
      <selection activeCell="J3" sqref="J3"/>
    </sheetView>
  </sheetViews>
  <sheetFormatPr defaultRowHeight="15.75" x14ac:dyDescent="0.25"/>
  <cols>
    <col min="1" max="1" width="17.28515625" style="189" customWidth="1"/>
    <col min="2" max="2" width="9.140625" style="189"/>
    <col min="3" max="3" width="11.7109375" style="189" customWidth="1"/>
    <col min="4" max="4" width="9.140625" style="189"/>
    <col min="5" max="5" width="11.140625" style="189" customWidth="1"/>
    <col min="6" max="6" width="9.140625" style="189"/>
    <col min="7" max="7" width="34.28515625" style="189" bestFit="1" customWidth="1"/>
    <col min="8" max="16384" width="9.140625" style="189"/>
  </cols>
  <sheetData>
    <row r="1" spans="1:7" ht="16.5" thickBot="1" x14ac:dyDescent="0.3">
      <c r="A1" s="188" t="s">
        <v>219</v>
      </c>
      <c r="C1" s="188" t="s">
        <v>169</v>
      </c>
      <c r="E1" s="188" t="s">
        <v>220</v>
      </c>
      <c r="G1" s="192" t="s">
        <v>225</v>
      </c>
    </row>
    <row r="2" spans="1:7" x14ac:dyDescent="0.25">
      <c r="A2" s="190" t="s">
        <v>170</v>
      </c>
      <c r="C2" s="189" t="s">
        <v>163</v>
      </c>
      <c r="E2" s="189">
        <v>1</v>
      </c>
      <c r="G2" s="191" t="s">
        <v>153</v>
      </c>
    </row>
    <row r="3" spans="1:7" x14ac:dyDescent="0.25">
      <c r="A3" s="190" t="s">
        <v>171</v>
      </c>
      <c r="C3" s="189" t="s">
        <v>164</v>
      </c>
      <c r="E3" s="189">
        <v>2</v>
      </c>
      <c r="G3" s="191" t="s">
        <v>221</v>
      </c>
    </row>
    <row r="4" spans="1:7" x14ac:dyDescent="0.25">
      <c r="A4" s="190" t="s">
        <v>172</v>
      </c>
      <c r="E4" s="189">
        <v>3</v>
      </c>
      <c r="G4" s="191" t="s">
        <v>222</v>
      </c>
    </row>
    <row r="5" spans="1:7" x14ac:dyDescent="0.25">
      <c r="A5" s="190" t="s">
        <v>173</v>
      </c>
      <c r="E5" s="189">
        <v>4</v>
      </c>
      <c r="G5" s="191" t="s">
        <v>223</v>
      </c>
    </row>
    <row r="6" spans="1:7" x14ac:dyDescent="0.25">
      <c r="A6" s="190" t="s">
        <v>174</v>
      </c>
      <c r="E6" s="189">
        <v>5</v>
      </c>
      <c r="G6" s="191" t="s">
        <v>224</v>
      </c>
    </row>
    <row r="7" spans="1:7" x14ac:dyDescent="0.25">
      <c r="A7" s="190" t="s">
        <v>175</v>
      </c>
      <c r="E7" s="189">
        <v>6</v>
      </c>
    </row>
    <row r="8" spans="1:7" x14ac:dyDescent="0.25">
      <c r="A8" s="190" t="s">
        <v>176</v>
      </c>
      <c r="E8" s="189">
        <v>7</v>
      </c>
    </row>
    <row r="9" spans="1:7" x14ac:dyDescent="0.25">
      <c r="A9" s="190" t="s">
        <v>177</v>
      </c>
      <c r="E9" s="189">
        <v>8</v>
      </c>
    </row>
    <row r="10" spans="1:7" x14ac:dyDescent="0.25">
      <c r="A10" s="190" t="s">
        <v>178</v>
      </c>
      <c r="E10" s="189">
        <v>9</v>
      </c>
    </row>
    <row r="11" spans="1:7" x14ac:dyDescent="0.25">
      <c r="A11" s="190" t="s">
        <v>179</v>
      </c>
      <c r="E11" s="189">
        <v>10</v>
      </c>
    </row>
    <row r="12" spans="1:7" x14ac:dyDescent="0.25">
      <c r="A12" s="190" t="s">
        <v>180</v>
      </c>
      <c r="E12" s="189">
        <v>11</v>
      </c>
    </row>
    <row r="13" spans="1:7" x14ac:dyDescent="0.25">
      <c r="A13" s="190" t="s">
        <v>181</v>
      </c>
      <c r="E13" s="189">
        <v>12</v>
      </c>
    </row>
    <row r="14" spans="1:7" x14ac:dyDescent="0.25">
      <c r="A14" s="190" t="s">
        <v>182</v>
      </c>
      <c r="E14" s="189">
        <v>13</v>
      </c>
    </row>
    <row r="15" spans="1:7" x14ac:dyDescent="0.25">
      <c r="A15" s="190" t="s">
        <v>183</v>
      </c>
      <c r="E15" s="189">
        <v>14</v>
      </c>
    </row>
    <row r="16" spans="1:7" x14ac:dyDescent="0.25">
      <c r="A16" s="190" t="s">
        <v>184</v>
      </c>
      <c r="E16" s="189">
        <v>15</v>
      </c>
    </row>
    <row r="17" spans="1:5" x14ac:dyDescent="0.25">
      <c r="A17" s="190" t="s">
        <v>185</v>
      </c>
      <c r="E17" s="189">
        <v>16</v>
      </c>
    </row>
    <row r="18" spans="1:5" x14ac:dyDescent="0.25">
      <c r="A18" s="190" t="s">
        <v>186</v>
      </c>
      <c r="E18" s="189">
        <v>17</v>
      </c>
    </row>
    <row r="19" spans="1:5" x14ac:dyDescent="0.25">
      <c r="A19" s="190" t="s">
        <v>187</v>
      </c>
      <c r="E19" s="189">
        <v>18</v>
      </c>
    </row>
    <row r="20" spans="1:5" x14ac:dyDescent="0.25">
      <c r="A20" s="190" t="s">
        <v>188</v>
      </c>
    </row>
    <row r="21" spans="1:5" x14ac:dyDescent="0.25">
      <c r="A21" s="190" t="s">
        <v>189</v>
      </c>
    </row>
    <row r="22" spans="1:5" x14ac:dyDescent="0.25">
      <c r="A22" s="190" t="s">
        <v>190</v>
      </c>
    </row>
    <row r="23" spans="1:5" x14ac:dyDescent="0.25">
      <c r="A23" s="190" t="s">
        <v>191</v>
      </c>
    </row>
    <row r="24" spans="1:5" x14ac:dyDescent="0.25">
      <c r="A24" s="190" t="s">
        <v>192</v>
      </c>
    </row>
    <row r="25" spans="1:5" x14ac:dyDescent="0.25">
      <c r="A25" s="190" t="s">
        <v>193</v>
      </c>
    </row>
    <row r="26" spans="1:5" x14ac:dyDescent="0.25">
      <c r="A26" s="190" t="s">
        <v>194</v>
      </c>
    </row>
    <row r="27" spans="1:5" x14ac:dyDescent="0.25">
      <c r="A27" s="190" t="s">
        <v>195</v>
      </c>
    </row>
    <row r="28" spans="1:5" x14ac:dyDescent="0.25">
      <c r="A28" s="190" t="s">
        <v>196</v>
      </c>
    </row>
    <row r="29" spans="1:5" x14ac:dyDescent="0.25">
      <c r="A29" s="190" t="s">
        <v>197</v>
      </c>
    </row>
    <row r="30" spans="1:5" x14ac:dyDescent="0.25">
      <c r="A30" s="190" t="s">
        <v>198</v>
      </c>
    </row>
    <row r="31" spans="1:5" x14ac:dyDescent="0.25">
      <c r="A31" s="190" t="s">
        <v>199</v>
      </c>
    </row>
    <row r="32" spans="1:5" x14ac:dyDescent="0.25">
      <c r="A32" s="190" t="s">
        <v>200</v>
      </c>
    </row>
    <row r="33" spans="1:1" x14ac:dyDescent="0.25">
      <c r="A33" s="190" t="s">
        <v>201</v>
      </c>
    </row>
    <row r="34" spans="1:1" x14ac:dyDescent="0.25">
      <c r="A34" s="190" t="s">
        <v>202</v>
      </c>
    </row>
    <row r="35" spans="1:1" x14ac:dyDescent="0.25">
      <c r="A35" s="190" t="s">
        <v>203</v>
      </c>
    </row>
    <row r="36" spans="1:1" x14ac:dyDescent="0.25">
      <c r="A36" s="190" t="s">
        <v>204</v>
      </c>
    </row>
    <row r="37" spans="1:1" x14ac:dyDescent="0.25">
      <c r="A37" s="190" t="s">
        <v>205</v>
      </c>
    </row>
    <row r="38" spans="1:1" x14ac:dyDescent="0.25">
      <c r="A38" s="190" t="s">
        <v>206</v>
      </c>
    </row>
    <row r="39" spans="1:1" x14ac:dyDescent="0.25">
      <c r="A39" s="190" t="s">
        <v>207</v>
      </c>
    </row>
    <row r="40" spans="1:1" x14ac:dyDescent="0.25">
      <c r="A40" s="190" t="s">
        <v>208</v>
      </c>
    </row>
    <row r="41" spans="1:1" x14ac:dyDescent="0.25">
      <c r="A41" s="190" t="s">
        <v>209</v>
      </c>
    </row>
    <row r="42" spans="1:1" x14ac:dyDescent="0.25">
      <c r="A42" s="190" t="s">
        <v>210</v>
      </c>
    </row>
    <row r="43" spans="1:1" x14ac:dyDescent="0.25">
      <c r="A43" s="190" t="s">
        <v>211</v>
      </c>
    </row>
    <row r="44" spans="1:1" x14ac:dyDescent="0.25">
      <c r="A44" s="190" t="s">
        <v>166</v>
      </c>
    </row>
    <row r="45" spans="1:1" x14ac:dyDescent="0.25">
      <c r="A45" s="190" t="s">
        <v>212</v>
      </c>
    </row>
    <row r="46" spans="1:1" x14ac:dyDescent="0.25">
      <c r="A46" s="190" t="s">
        <v>213</v>
      </c>
    </row>
    <row r="47" spans="1:1" x14ac:dyDescent="0.25">
      <c r="A47" s="190" t="s">
        <v>214</v>
      </c>
    </row>
    <row r="48" spans="1:1" x14ac:dyDescent="0.25">
      <c r="A48" s="190" t="s">
        <v>215</v>
      </c>
    </row>
    <row r="49" spans="1:1" x14ac:dyDescent="0.25">
      <c r="A49" s="190" t="s">
        <v>216</v>
      </c>
    </row>
    <row r="50" spans="1:1" x14ac:dyDescent="0.25">
      <c r="A50" s="190" t="s">
        <v>217</v>
      </c>
    </row>
    <row r="51" spans="1:1" x14ac:dyDescent="0.25">
      <c r="A51" s="190" t="s">
        <v>218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4C0D2-F277-4E38-940F-77443F96DA96}">
  <dimension ref="A3:L33"/>
  <sheetViews>
    <sheetView zoomScale="70" zoomScaleNormal="70" workbookViewId="0">
      <selection activeCell="N27" sqref="N27"/>
    </sheetView>
  </sheetViews>
  <sheetFormatPr defaultRowHeight="15" x14ac:dyDescent="0.25"/>
  <cols>
    <col min="3" max="3" width="20.5703125" bestFit="1" customWidth="1"/>
    <col min="4" max="4" width="18.140625" bestFit="1" customWidth="1"/>
    <col min="5" max="7" width="16.5703125" bestFit="1" customWidth="1"/>
    <col min="8" max="9" width="17.42578125" bestFit="1" customWidth="1"/>
    <col min="10" max="10" width="16.7109375" customWidth="1"/>
    <col min="12" max="12" width="11.140625" bestFit="1" customWidth="1"/>
  </cols>
  <sheetData>
    <row r="3" spans="3:12" x14ac:dyDescent="0.25">
      <c r="C3" t="str">
        <f>SavingxTaxBrkt!E3</f>
        <v>Salary</v>
      </c>
      <c r="D3" s="220" t="str">
        <f>SavingxTaxBrkt!F3</f>
        <v>Tax Brackets 2021</v>
      </c>
      <c r="E3" s="220"/>
      <c r="F3" s="220"/>
      <c r="G3" s="220"/>
      <c r="H3" s="220"/>
      <c r="I3" s="220"/>
      <c r="J3" s="220"/>
    </row>
    <row r="4" spans="3:12" x14ac:dyDescent="0.25">
      <c r="C4" t="str">
        <f>SavingxTaxBrkt!E4</f>
        <v>Earning Percentile</v>
      </c>
      <c r="D4" s="16"/>
      <c r="E4" s="28" t="str">
        <f>SavingxTaxBrkt!G4</f>
        <v>Top 50%</v>
      </c>
      <c r="F4" s="28" t="str">
        <f>SavingxTaxBrkt!H4</f>
        <v>Top 25%</v>
      </c>
      <c r="G4" s="220" t="str">
        <f>SavingxTaxBrkt!J4</f>
        <v>Top 10%</v>
      </c>
      <c r="H4" s="220"/>
      <c r="I4" s="28" t="str">
        <f>SavingxTaxBrkt!L4</f>
        <v>Top 5%</v>
      </c>
      <c r="J4" s="28" t="str">
        <f>SavingxTaxBrkt!M4</f>
        <v>Top 1%</v>
      </c>
    </row>
    <row r="5" spans="3:12" x14ac:dyDescent="0.25">
      <c r="C5" t="str">
        <f>SavingxTaxBrkt!E5</f>
        <v>Individual</v>
      </c>
      <c r="D5" s="22">
        <f>SavingxTaxBrkt!F5</f>
        <v>9950</v>
      </c>
      <c r="E5" s="22">
        <f>SavingxTaxBrkt!G5</f>
        <v>40525</v>
      </c>
      <c r="F5" s="22">
        <f>SavingxTaxBrkt!H5</f>
        <v>86375</v>
      </c>
      <c r="G5" s="22">
        <f>SavingxTaxBrkt!J5</f>
        <v>164925</v>
      </c>
      <c r="H5" s="22">
        <f>SavingxTaxBrkt!K5</f>
        <v>209425</v>
      </c>
      <c r="I5" s="22">
        <f>SavingxTaxBrkt!L5</f>
        <v>523600</v>
      </c>
      <c r="J5" s="22">
        <f>SavingxTaxBrkt!M5</f>
        <v>530000</v>
      </c>
    </row>
    <row r="6" spans="3:12" x14ac:dyDescent="0.25">
      <c r="C6" t="str">
        <f>SavingxTaxBrkt!E6</f>
        <v>Joint</v>
      </c>
      <c r="D6" s="22">
        <f>SavingxTaxBrkt!F6</f>
        <v>19900</v>
      </c>
      <c r="E6" s="22">
        <f>SavingxTaxBrkt!G6</f>
        <v>81050</v>
      </c>
      <c r="F6" s="22">
        <f>SavingxTaxBrkt!H6</f>
        <v>172750</v>
      </c>
      <c r="G6" s="22">
        <f>SavingxTaxBrkt!J6</f>
        <v>329850</v>
      </c>
      <c r="H6" s="22">
        <f>SavingxTaxBrkt!K6</f>
        <v>418850</v>
      </c>
      <c r="I6" s="22">
        <f>SavingxTaxBrkt!L6</f>
        <v>628300</v>
      </c>
      <c r="J6" s="22">
        <f>SavingxTaxBrkt!M6</f>
        <v>650000</v>
      </c>
    </row>
    <row r="8" spans="3:12" x14ac:dyDescent="0.25">
      <c r="C8" s="5" t="s">
        <v>32</v>
      </c>
    </row>
    <row r="9" spans="3:12" x14ac:dyDescent="0.25">
      <c r="C9" t="s">
        <v>1</v>
      </c>
      <c r="D9" s="4">
        <f>SavingxTaxBrkt!F16+SavingxTaxBrkt!F33+SavingxTaxBrkt!F46+SavingxTaxBrkt!F50</f>
        <v>2082.0375000000004</v>
      </c>
      <c r="E9" s="4">
        <f>SavingxTaxBrkt!G16+SavingxTaxBrkt!G33+SavingxTaxBrkt!G46+SavingxTaxBrkt!G50</f>
        <v>8396.374749999999</v>
      </c>
      <c r="F9" s="4">
        <f>SavingxTaxBrkt!H16+SavingxTaxBrkt!H33+SavingxTaxBrkt!H46+SavingxTaxBrkt!H50</f>
        <v>17132.481250000001</v>
      </c>
      <c r="G9" s="4">
        <f>SavingxTaxBrkt!J16+SavingxTaxBrkt!J33+SavingxTaxBrkt!J46+SavingxTaxBrkt!J50</f>
        <v>25294.518750000003</v>
      </c>
      <c r="H9" s="4">
        <f>SavingxTaxBrkt!K16+SavingxTaxBrkt!K33+SavingxTaxBrkt!K46+SavingxTaxBrkt!K50</f>
        <v>32976.086750000002</v>
      </c>
      <c r="I9" s="4">
        <f>SavingxTaxBrkt!L16+SavingxTaxBrkt!L33+SavingxTaxBrkt!L46+SavingxTaxBrkt!L50</f>
        <v>49280</v>
      </c>
      <c r="J9" s="4">
        <f>SavingxTaxBrkt!M16+SavingxTaxBrkt!M33+SavingxTaxBrkt!M46+SavingxTaxBrkt!M50</f>
        <v>49600</v>
      </c>
      <c r="L9" s="4"/>
    </row>
    <row r="10" spans="3:12" x14ac:dyDescent="0.25">
      <c r="C10" t="s">
        <v>2</v>
      </c>
      <c r="D10" s="4">
        <f>SavingxTaxBrkt!F17+SavingxTaxBrkt!F34+SavingxTaxBrkt!F47+SavingxTaxBrkt!F51</f>
        <v>4164.0750000000007</v>
      </c>
      <c r="E10" s="4">
        <f>SavingxTaxBrkt!G17+SavingxTaxBrkt!G34+SavingxTaxBrkt!G47+SavingxTaxBrkt!G51</f>
        <v>16792.749499999998</v>
      </c>
      <c r="F10" s="4">
        <f>SavingxTaxBrkt!H17+SavingxTaxBrkt!H34+SavingxTaxBrkt!H47+SavingxTaxBrkt!H51</f>
        <v>34264.962500000001</v>
      </c>
      <c r="G10" s="4">
        <f>SavingxTaxBrkt!J17+SavingxTaxBrkt!J34+SavingxTaxBrkt!J47+SavingxTaxBrkt!J51</f>
        <v>50589.037500000006</v>
      </c>
      <c r="H10" s="4">
        <f>SavingxTaxBrkt!K17+SavingxTaxBrkt!K34+SavingxTaxBrkt!K47+SavingxTaxBrkt!K51</f>
        <v>65952.173500000004</v>
      </c>
      <c r="I10" s="4">
        <f>SavingxTaxBrkt!L17+SavingxTaxBrkt!L34+SavingxTaxBrkt!L47+SavingxTaxBrkt!L51</f>
        <v>77615</v>
      </c>
      <c r="J10" s="4">
        <f>SavingxTaxBrkt!M17+SavingxTaxBrkt!M34+SavingxTaxBrkt!M47+SavingxTaxBrkt!M51</f>
        <v>78700</v>
      </c>
      <c r="L10" s="4"/>
    </row>
    <row r="12" spans="3:12" x14ac:dyDescent="0.25">
      <c r="C12" s="5" t="s">
        <v>18</v>
      </c>
    </row>
    <row r="13" spans="3:12" x14ac:dyDescent="0.25">
      <c r="C13" t="s">
        <v>1</v>
      </c>
      <c r="D13" s="4">
        <f>SavingxTaxBrkt!F37+SavingxTaxBrkt!F55</f>
        <v>0</v>
      </c>
      <c r="E13" s="4">
        <f>SavingxTaxBrkt!G37+SavingxTaxBrkt!G55</f>
        <v>0</v>
      </c>
      <c r="F13" s="4">
        <f>SavingxTaxBrkt!H37+SavingxTaxBrkt!H55</f>
        <v>0</v>
      </c>
      <c r="G13" s="4">
        <f>SavingxTaxBrkt!J37+SavingxTaxBrkt!J55</f>
        <v>12000</v>
      </c>
      <c r="H13" s="4">
        <f>SavingxTaxBrkt!K37+SavingxTaxBrkt!K55</f>
        <v>12000</v>
      </c>
      <c r="I13" s="4">
        <f>SavingxTaxBrkt!L37+SavingxTaxBrkt!L55</f>
        <v>49454.796000000002</v>
      </c>
      <c r="J13" s="4">
        <f>SavingxTaxBrkt!M37+SavingxTaxBrkt!M55</f>
        <v>49929.100000000006</v>
      </c>
      <c r="L13" s="4"/>
    </row>
    <row r="14" spans="3:12" x14ac:dyDescent="0.25">
      <c r="C14" t="s">
        <v>2</v>
      </c>
      <c r="D14" s="4">
        <f>SavingxTaxBrkt!F38+SavingxTaxBrkt!F56</f>
        <v>0</v>
      </c>
      <c r="E14" s="4">
        <f>SavingxTaxBrkt!G38+SavingxTaxBrkt!G56</f>
        <v>0</v>
      </c>
      <c r="F14" s="4">
        <f>SavingxTaxBrkt!H38+SavingxTaxBrkt!H56</f>
        <v>0</v>
      </c>
      <c r="G14" s="4">
        <f>SavingxTaxBrkt!J38+SavingxTaxBrkt!J56</f>
        <v>24000</v>
      </c>
      <c r="H14" s="4">
        <f>SavingxTaxBrkt!K38+SavingxTaxBrkt!K56</f>
        <v>24000</v>
      </c>
      <c r="I14" s="4">
        <f>SavingxTaxBrkt!L38+SavingxTaxBrkt!L56</f>
        <v>45663.213000000003</v>
      </c>
      <c r="J14" s="4">
        <f>SavingxTaxBrkt!M38+SavingxTaxBrkt!M56</f>
        <v>48005.5</v>
      </c>
      <c r="L14" s="4"/>
    </row>
    <row r="16" spans="3:12" x14ac:dyDescent="0.25">
      <c r="C16" s="23" t="s">
        <v>34</v>
      </c>
      <c r="D16" s="32">
        <v>20.99</v>
      </c>
    </row>
    <row r="17" spans="1:10" x14ac:dyDescent="0.25">
      <c r="C17" s="23" t="s">
        <v>35</v>
      </c>
      <c r="D17" s="32">
        <v>200000</v>
      </c>
    </row>
    <row r="18" spans="1:10" x14ac:dyDescent="0.25">
      <c r="C18" s="23" t="s">
        <v>36</v>
      </c>
      <c r="D18" s="24">
        <f>D17*D16</f>
        <v>4198000</v>
      </c>
    </row>
    <row r="19" spans="1:10" x14ac:dyDescent="0.25">
      <c r="C19" s="26" t="s">
        <v>37</v>
      </c>
      <c r="D19" s="31">
        <v>7.0000000000000007E-2</v>
      </c>
    </row>
    <row r="20" spans="1:10" x14ac:dyDescent="0.25">
      <c r="C20" s="23" t="s">
        <v>38</v>
      </c>
      <c r="D20" s="27">
        <f>SavingxTaxBrkt!F10</f>
        <v>0.1</v>
      </c>
      <c r="E20" s="27">
        <f>SavingxTaxBrkt!G10</f>
        <v>0.1103</v>
      </c>
      <c r="F20" s="27">
        <f>SavingxTaxBrkt!H10</f>
        <v>0.1545</v>
      </c>
      <c r="G20" s="27">
        <f>SavingxTaxBrkt!J10</f>
        <v>0.19750000000000001</v>
      </c>
      <c r="H20" s="27">
        <f>SavingxTaxBrkt!K10</f>
        <v>0.2157</v>
      </c>
      <c r="I20" s="27">
        <f>SavingxTaxBrkt!L10</f>
        <v>0.26069999999999999</v>
      </c>
      <c r="J20" s="27">
        <f>SavingxTaxBrkt!M10</f>
        <v>0.26390000000000002</v>
      </c>
    </row>
    <row r="22" spans="1:10" x14ac:dyDescent="0.25">
      <c r="A22" s="6">
        <v>30</v>
      </c>
      <c r="B22" s="29" t="s">
        <v>39</v>
      </c>
      <c r="C22" s="11" t="s">
        <v>33</v>
      </c>
    </row>
    <row r="23" spans="1:10" x14ac:dyDescent="0.25">
      <c r="B23">
        <f t="shared" ref="B23:B33" si="0">$A$22+C23</f>
        <v>40</v>
      </c>
      <c r="C23">
        <v>10</v>
      </c>
      <c r="D23" s="25">
        <f>-FV($D$19,$C23,D$9)-FV(($D$19*(1-D$20)),$C23,D$9)</f>
        <v>56598.989500361058</v>
      </c>
      <c r="E23" s="25">
        <f t="shared" ref="E23:J23" si="1">-FV($D$19,$C23,E$9)-FV(($D$19*(1-E$20)),$C23,E$9)</f>
        <v>227870.61188939333</v>
      </c>
      <c r="F23" s="25">
        <f t="shared" ref="D23:J33" si="2">-FV($D$19,$C23,F$9)-FV(($D$19*(1-F$20)),$C23,F$9)</f>
        <v>461667.31164711376</v>
      </c>
      <c r="G23" s="25">
        <f t="shared" si="1"/>
        <v>676953.55182673479</v>
      </c>
      <c r="H23" s="25">
        <f t="shared" si="1"/>
        <v>879994.41830918263</v>
      </c>
      <c r="I23" s="25">
        <f t="shared" si="1"/>
        <v>1305802.5263890345</v>
      </c>
      <c r="J23" s="25">
        <f t="shared" si="1"/>
        <v>1313623.8073426296</v>
      </c>
    </row>
    <row r="24" spans="1:10" x14ac:dyDescent="0.25">
      <c r="B24">
        <f t="shared" si="0"/>
        <v>45</v>
      </c>
      <c r="C24">
        <v>15</v>
      </c>
      <c r="D24" s="25">
        <f t="shared" si="2"/>
        <v>101903.10479546976</v>
      </c>
      <c r="E24" s="25">
        <f t="shared" si="2"/>
        <v>409853.16235325451</v>
      </c>
      <c r="F24" s="25">
        <f t="shared" si="2"/>
        <v>826830.90587881592</v>
      </c>
      <c r="G24" s="25">
        <f t="shared" si="2"/>
        <v>1207512.1864956268</v>
      </c>
      <c r="H24" s="25">
        <f t="shared" si="2"/>
        <v>1567053.1203501169</v>
      </c>
      <c r="I24" s="25">
        <f t="shared" si="2"/>
        <v>2315871.9979232876</v>
      </c>
      <c r="J24" s="25">
        <f t="shared" si="2"/>
        <v>2329079.5976622985</v>
      </c>
    </row>
    <row r="25" spans="1:10" x14ac:dyDescent="0.25">
      <c r="B25">
        <f t="shared" si="0"/>
        <v>50</v>
      </c>
      <c r="C25">
        <v>20</v>
      </c>
      <c r="D25" s="25">
        <f t="shared" si="2"/>
        <v>164459.55611786526</v>
      </c>
      <c r="E25" s="25">
        <f t="shared" si="2"/>
        <v>660753.79975407536</v>
      </c>
      <c r="F25" s="25">
        <f t="shared" si="2"/>
        <v>1327089.2004268253</v>
      </c>
      <c r="G25" s="25">
        <f t="shared" si="2"/>
        <v>1930067.1280112928</v>
      </c>
      <c r="H25" s="25">
        <f t="shared" si="2"/>
        <v>2500478.802488395</v>
      </c>
      <c r="I25" s="25">
        <f t="shared" si="2"/>
        <v>3680230.9942194405</v>
      </c>
      <c r="J25" s="25">
        <f t="shared" si="2"/>
        <v>3700166.6025026822</v>
      </c>
    </row>
    <row r="26" spans="1:10" x14ac:dyDescent="0.25">
      <c r="B26">
        <f t="shared" si="0"/>
        <v>55</v>
      </c>
      <c r="C26">
        <v>25</v>
      </c>
      <c r="D26" s="25">
        <f t="shared" si="2"/>
        <v>250861.42074800338</v>
      </c>
      <c r="E26" s="25">
        <f t="shared" si="2"/>
        <v>1006785.2618590078</v>
      </c>
      <c r="F26" s="25">
        <f t="shared" si="2"/>
        <v>2012860.1980434991</v>
      </c>
      <c r="G26" s="25">
        <f t="shared" si="2"/>
        <v>2915124.9024745971</v>
      </c>
      <c r="H26" s="25">
        <f t="shared" si="2"/>
        <v>3770192.2741215127</v>
      </c>
      <c r="I26" s="25">
        <f t="shared" si="2"/>
        <v>5526486.9255112614</v>
      </c>
      <c r="J26" s="25">
        <f t="shared" si="2"/>
        <v>5554867.935449644</v>
      </c>
    </row>
    <row r="27" spans="1:10" x14ac:dyDescent="0.25">
      <c r="B27">
        <f t="shared" si="0"/>
        <v>60</v>
      </c>
      <c r="C27">
        <v>30</v>
      </c>
      <c r="D27" s="25">
        <f t="shared" si="2"/>
        <v>370230.11422934069</v>
      </c>
      <c r="E27" s="25">
        <f t="shared" si="2"/>
        <v>1484172.552894562</v>
      </c>
      <c r="F27" s="25">
        <f t="shared" si="2"/>
        <v>2953537.1906497194</v>
      </c>
      <c r="G27" s="25">
        <f t="shared" si="2"/>
        <v>4259443.3125148322</v>
      </c>
      <c r="H27" s="25">
        <f t="shared" si="2"/>
        <v>5499476.9903118126</v>
      </c>
      <c r="I27" s="25">
        <f t="shared" si="2"/>
        <v>8029307.8298343522</v>
      </c>
      <c r="J27" s="25">
        <f t="shared" si="2"/>
        <v>8068352.1935493872</v>
      </c>
    </row>
    <row r="28" spans="1:10" x14ac:dyDescent="0.25">
      <c r="B28">
        <f t="shared" si="0"/>
        <v>65</v>
      </c>
      <c r="C28">
        <v>35</v>
      </c>
      <c r="D28" s="25">
        <f t="shared" si="2"/>
        <v>535188.26258264575</v>
      </c>
      <c r="E28" s="25">
        <f t="shared" si="2"/>
        <v>2142993.0550352884</v>
      </c>
      <c r="F28" s="25">
        <f t="shared" si="2"/>
        <v>4244687.4292690065</v>
      </c>
      <c r="G28" s="25">
        <f t="shared" si="2"/>
        <v>6095929.180306796</v>
      </c>
      <c r="H28" s="25">
        <f t="shared" si="2"/>
        <v>7857540.708697157</v>
      </c>
      <c r="I28" s="25">
        <f t="shared" si="2"/>
        <v>11428130.503991432</v>
      </c>
      <c r="J28" s="25">
        <f t="shared" si="2"/>
        <v>11480730.215461235</v>
      </c>
    </row>
    <row r="29" spans="1:10" x14ac:dyDescent="0.25">
      <c r="B29">
        <f t="shared" si="0"/>
        <v>70</v>
      </c>
      <c r="C29">
        <v>40</v>
      </c>
      <c r="D29" s="25">
        <f t="shared" si="2"/>
        <v>763208.15921840118</v>
      </c>
      <c r="E29" s="25">
        <f t="shared" si="2"/>
        <v>3052495.3542393637</v>
      </c>
      <c r="F29" s="25">
        <f t="shared" si="2"/>
        <v>6018002.1166712698</v>
      </c>
      <c r="G29" s="25">
        <f t="shared" si="2"/>
        <v>8607309.9711424336</v>
      </c>
      <c r="H29" s="25">
        <f t="shared" si="2"/>
        <v>11076867.79047841</v>
      </c>
      <c r="I29" s="25">
        <f t="shared" si="2"/>
        <v>16051642.332947515</v>
      </c>
      <c r="J29" s="25">
        <f t="shared" si="2"/>
        <v>16121606.339902453</v>
      </c>
    </row>
    <row r="30" spans="1:10" x14ac:dyDescent="0.25">
      <c r="B30">
        <f t="shared" si="0"/>
        <v>75</v>
      </c>
      <c r="C30">
        <v>45</v>
      </c>
      <c r="D30" s="25">
        <f t="shared" si="2"/>
        <v>1078481.2658109842</v>
      </c>
      <c r="E30" s="25">
        <f t="shared" si="2"/>
        <v>4308468.3647684883</v>
      </c>
      <c r="F30" s="25">
        <f t="shared" si="2"/>
        <v>8455056.4701489527</v>
      </c>
      <c r="G30" s="25">
        <f t="shared" si="2"/>
        <v>12045032.337645436</v>
      </c>
      <c r="H30" s="25">
        <f t="shared" si="2"/>
        <v>15477209.117014727</v>
      </c>
      <c r="I30" s="25">
        <f t="shared" si="2"/>
        <v>22351661.785794206</v>
      </c>
      <c r="J30" s="25">
        <f t="shared" si="2"/>
        <v>22444058.342694215</v>
      </c>
    </row>
    <row r="31" spans="1:10" x14ac:dyDescent="0.25">
      <c r="B31">
        <f t="shared" si="0"/>
        <v>80</v>
      </c>
      <c r="C31">
        <v>50</v>
      </c>
      <c r="D31" s="25">
        <f t="shared" si="2"/>
        <v>1514510.7230440932</v>
      </c>
      <c r="E31" s="25">
        <f t="shared" si="2"/>
        <v>6043454.0795608312</v>
      </c>
      <c r="F31" s="25">
        <f t="shared" si="2"/>
        <v>11806348.546953216</v>
      </c>
      <c r="G31" s="25">
        <f t="shared" si="2"/>
        <v>16755404.763090588</v>
      </c>
      <c r="H31" s="25">
        <f t="shared" si="2"/>
        <v>21498775.124644525</v>
      </c>
      <c r="I31" s="25">
        <f t="shared" si="2"/>
        <v>30950070.020656802</v>
      </c>
      <c r="J31" s="25">
        <f t="shared" si="2"/>
        <v>31071711.790821873</v>
      </c>
    </row>
    <row r="32" spans="1:10" x14ac:dyDescent="0.25">
      <c r="B32">
        <f t="shared" si="0"/>
        <v>85</v>
      </c>
      <c r="C32">
        <v>55</v>
      </c>
      <c r="D32" s="25">
        <f t="shared" si="2"/>
        <v>2117707.3588582296</v>
      </c>
      <c r="E32" s="25">
        <f t="shared" si="2"/>
        <v>8440905.3347939737</v>
      </c>
      <c r="F32" s="25">
        <f t="shared" si="2"/>
        <v>16417655.079607002</v>
      </c>
      <c r="G32" s="25">
        <f t="shared" si="2"/>
        <v>23215786.183630589</v>
      </c>
      <c r="H32" s="25">
        <f t="shared" si="2"/>
        <v>29748197.587734304</v>
      </c>
      <c r="I32" s="25">
        <f t="shared" si="2"/>
        <v>42703878.744261406</v>
      </c>
      <c r="J32" s="25">
        <f t="shared" si="2"/>
        <v>42864013.133963779</v>
      </c>
    </row>
    <row r="33" spans="2:10" x14ac:dyDescent="0.25">
      <c r="B33">
        <f t="shared" si="0"/>
        <v>90</v>
      </c>
      <c r="C33">
        <v>60</v>
      </c>
      <c r="D33" s="25">
        <f t="shared" si="2"/>
        <v>2952378.8193941419</v>
      </c>
      <c r="E33" s="25">
        <f t="shared" si="2"/>
        <v>11754818.065585008</v>
      </c>
      <c r="F33" s="25">
        <f t="shared" si="2"/>
        <v>22766534.180180624</v>
      </c>
      <c r="G33" s="25">
        <f t="shared" si="2"/>
        <v>32084714.468864512</v>
      </c>
      <c r="H33" s="25">
        <f t="shared" si="2"/>
        <v>41062218.517274</v>
      </c>
      <c r="I33" s="25">
        <f t="shared" si="2"/>
        <v>58795518.124600321</v>
      </c>
      <c r="J33" s="25">
        <f t="shared" si="2"/>
        <v>59006812.953661233</v>
      </c>
    </row>
  </sheetData>
  <mergeCells count="2">
    <mergeCell ref="D3:J3"/>
    <mergeCell ref="G4:H4"/>
  </mergeCells>
  <conditionalFormatting sqref="D23:J33">
    <cfRule type="cellIs" dxfId="0" priority="1" operator="greaterThan">
      <formula>$D$18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40B08-E39B-4F8E-A641-C92C1BF7E4AE}">
  <dimension ref="B2:L38"/>
  <sheetViews>
    <sheetView zoomScale="80" zoomScaleNormal="80" workbookViewId="0">
      <selection activeCell="O23" sqref="O23"/>
    </sheetView>
  </sheetViews>
  <sheetFormatPr defaultRowHeight="12" customHeight="1" x14ac:dyDescent="0.25"/>
  <cols>
    <col min="2" max="2" width="5" bestFit="1" customWidth="1"/>
    <col min="3" max="3" width="21.5703125" bestFit="1" customWidth="1"/>
    <col min="4" max="5" width="12.28515625" bestFit="1" customWidth="1"/>
    <col min="6" max="10" width="13.42578125" bestFit="1" customWidth="1"/>
    <col min="12" max="12" width="13.42578125" bestFit="1" customWidth="1"/>
  </cols>
  <sheetData>
    <row r="2" spans="2:12" ht="12" customHeight="1" x14ac:dyDescent="0.25">
      <c r="C2" s="17"/>
    </row>
    <row r="3" spans="2:12" ht="12" customHeight="1" x14ac:dyDescent="0.25">
      <c r="C3" s="18" t="str">
        <f>SavingxTaxBrkt!E3</f>
        <v>Salary</v>
      </c>
      <c r="D3" s="220" t="str">
        <f>SavingxTaxBrkt!F3</f>
        <v>Tax Brackets 2021</v>
      </c>
      <c r="E3" s="220"/>
      <c r="F3" s="220"/>
      <c r="G3" s="220"/>
      <c r="H3" s="220"/>
      <c r="I3" s="220"/>
      <c r="J3" s="220"/>
      <c r="L3" s="14" t="str">
        <f>SavingxTaxBrkt!O3</f>
        <v>My Income</v>
      </c>
    </row>
    <row r="4" spans="2:12" ht="12" customHeight="1" x14ac:dyDescent="0.25">
      <c r="C4" s="18" t="str">
        <f>SavingxTaxBrkt!E4</f>
        <v>Earning Percentile</v>
      </c>
      <c r="D4" s="16"/>
      <c r="E4" s="28" t="str">
        <f>SavingxTaxBrkt!G4</f>
        <v>Top 50%</v>
      </c>
      <c r="F4" s="28" t="str">
        <f>SavingxTaxBrkt!H4</f>
        <v>Top 25%</v>
      </c>
      <c r="G4" s="220" t="str">
        <f>SavingxTaxBrkt!J4</f>
        <v>Top 10%</v>
      </c>
      <c r="H4" s="220"/>
      <c r="I4" s="28" t="str">
        <f>SavingxTaxBrkt!L4</f>
        <v>Top 5%</v>
      </c>
      <c r="J4" s="28" t="str">
        <f>SavingxTaxBrkt!M4</f>
        <v>Top 1%</v>
      </c>
      <c r="L4" s="3"/>
    </row>
    <row r="5" spans="2:12" ht="12" customHeight="1" x14ac:dyDescent="0.25">
      <c r="C5" t="str">
        <f>SavingxTaxBrkt!E5</f>
        <v>Individual</v>
      </c>
      <c r="D5" s="3">
        <f>SavingxTaxBrkt!F5</f>
        <v>9950</v>
      </c>
      <c r="E5" s="3">
        <f>SavingxTaxBrkt!G5</f>
        <v>40525</v>
      </c>
      <c r="F5" s="3">
        <f>SavingxTaxBrkt!H5</f>
        <v>86375</v>
      </c>
      <c r="G5" s="3">
        <f>SavingxTaxBrkt!J5</f>
        <v>164925</v>
      </c>
      <c r="H5" s="3">
        <f>SavingxTaxBrkt!K5</f>
        <v>209425</v>
      </c>
      <c r="I5" s="3">
        <f>SavingxTaxBrkt!L5</f>
        <v>523600</v>
      </c>
      <c r="J5" s="3">
        <f>SavingxTaxBrkt!M5</f>
        <v>530000</v>
      </c>
      <c r="L5" s="3"/>
    </row>
    <row r="6" spans="2:12" ht="12" customHeight="1" x14ac:dyDescent="0.25">
      <c r="C6" t="str">
        <f>SavingxTaxBrkt!E6</f>
        <v>Joint</v>
      </c>
      <c r="D6" s="3">
        <f>SavingxTaxBrkt!F6</f>
        <v>19900</v>
      </c>
      <c r="E6" s="3">
        <f>SavingxTaxBrkt!G6</f>
        <v>81050</v>
      </c>
      <c r="F6" s="3">
        <f>SavingxTaxBrkt!H6</f>
        <v>172750</v>
      </c>
      <c r="G6" s="3">
        <f>SavingxTaxBrkt!J6</f>
        <v>329850</v>
      </c>
      <c r="H6" s="3">
        <f>SavingxTaxBrkt!K6</f>
        <v>418850</v>
      </c>
      <c r="I6" s="3">
        <f>SavingxTaxBrkt!L6</f>
        <v>628300</v>
      </c>
      <c r="J6" s="3">
        <f>SavingxTaxBrkt!M6</f>
        <v>650000</v>
      </c>
      <c r="L6" s="3">
        <f>SavingxTaxBrkt!O6</f>
        <v>134521.79999999999</v>
      </c>
    </row>
    <row r="7" spans="2:12" ht="12" customHeight="1" x14ac:dyDescent="0.25">
      <c r="L7" s="3"/>
    </row>
    <row r="8" spans="2:12" ht="12" customHeight="1" x14ac:dyDescent="0.25">
      <c r="C8" s="5" t="str">
        <f>SavingxTaxBrkt!E19</f>
        <v>Take Home Pay</v>
      </c>
      <c r="L8" s="3"/>
    </row>
    <row r="9" spans="2:12" ht="12" customHeight="1" x14ac:dyDescent="0.25">
      <c r="C9" t="str">
        <f>SavingxTaxBrkt!E20</f>
        <v>Individual</v>
      </c>
      <c r="D9" s="3">
        <f>SavingxTaxBrkt!F20</f>
        <v>7922.6875</v>
      </c>
      <c r="E9" s="3">
        <f>SavingxTaxBrkt!G20</f>
        <v>31850.623749999999</v>
      </c>
      <c r="F9" s="3">
        <f>SavingxTaxBrkt!H20</f>
        <v>64068.65625</v>
      </c>
      <c r="G9" s="3">
        <f>SavingxTaxBrkt!J20</f>
        <v>115241.34375</v>
      </c>
      <c r="H9" s="3">
        <f>SavingxTaxBrkt!K20</f>
        <v>142524.18375</v>
      </c>
      <c r="I9" s="3">
        <f>SavingxTaxBrkt!L20</f>
        <v>332773.98</v>
      </c>
      <c r="J9" s="3">
        <f>SavingxTaxBrkt!M20</f>
        <v>335145.5</v>
      </c>
      <c r="L9" s="3"/>
    </row>
    <row r="10" spans="2:12" ht="12" customHeight="1" x14ac:dyDescent="0.25">
      <c r="C10" t="str">
        <f>SavingxTaxBrkt!E21</f>
        <v>Joint</v>
      </c>
      <c r="D10" s="3">
        <f>SavingxTaxBrkt!F21</f>
        <v>15845.375</v>
      </c>
      <c r="E10" s="3">
        <f>SavingxTaxBrkt!G21</f>
        <v>63701.247499999998</v>
      </c>
      <c r="F10" s="3">
        <f>SavingxTaxBrkt!H21</f>
        <v>128137.3125</v>
      </c>
      <c r="G10" s="3">
        <f>SavingxTaxBrkt!J21</f>
        <v>230482.6875</v>
      </c>
      <c r="H10" s="3">
        <f>SavingxTaxBrkt!K21</f>
        <v>285048.36749999999</v>
      </c>
      <c r="I10" s="3">
        <f>SavingxTaxBrkt!L21</f>
        <v>399316.065</v>
      </c>
      <c r="J10" s="3">
        <f>SavingxTaxBrkt!M21</f>
        <v>411027.5</v>
      </c>
      <c r="L10" s="3">
        <f>SavingxTaxBrkt!O21</f>
        <v>98612.271800000002</v>
      </c>
    </row>
    <row r="11" spans="2:12" ht="12" customHeight="1" x14ac:dyDescent="0.25">
      <c r="L11" s="3"/>
    </row>
    <row r="12" spans="2:12" ht="12" customHeight="1" x14ac:dyDescent="0.25">
      <c r="B12" s="8">
        <f>SavingxTaxBrkt!D28</f>
        <v>0.8</v>
      </c>
      <c r="C12" s="5" t="s">
        <v>27</v>
      </c>
    </row>
    <row r="13" spans="2:12" ht="12" customHeight="1" x14ac:dyDescent="0.25">
      <c r="C13" t="s">
        <v>1</v>
      </c>
      <c r="D13" s="4">
        <f>$B$12*D9</f>
        <v>6338.1500000000005</v>
      </c>
      <c r="E13" s="4">
        <f t="shared" ref="E13:J13" si="0">$B$12*E9</f>
        <v>25480.499</v>
      </c>
      <c r="F13" s="4">
        <f t="shared" si="0"/>
        <v>51254.925000000003</v>
      </c>
      <c r="G13" s="4">
        <f t="shared" si="0"/>
        <v>92193.075000000012</v>
      </c>
      <c r="H13" s="4">
        <f t="shared" si="0"/>
        <v>114019.34700000001</v>
      </c>
      <c r="I13" s="4">
        <f t="shared" si="0"/>
        <v>266219.18400000001</v>
      </c>
      <c r="J13" s="4">
        <f t="shared" si="0"/>
        <v>268116.40000000002</v>
      </c>
      <c r="L13" s="4"/>
    </row>
    <row r="14" spans="2:12" ht="12" customHeight="1" x14ac:dyDescent="0.25">
      <c r="C14" t="s">
        <v>2</v>
      </c>
      <c r="D14" s="4">
        <f>$B$12*D10</f>
        <v>12676.300000000001</v>
      </c>
      <c r="E14" s="4">
        <f t="shared" ref="E14:J14" si="1">$B$12*E10</f>
        <v>50960.998</v>
      </c>
      <c r="F14" s="4">
        <f t="shared" si="1"/>
        <v>102509.85</v>
      </c>
      <c r="G14" s="4">
        <f t="shared" si="1"/>
        <v>184386.15000000002</v>
      </c>
      <c r="H14" s="4">
        <f t="shared" si="1"/>
        <v>228038.69400000002</v>
      </c>
      <c r="I14" s="4">
        <f t="shared" si="1"/>
        <v>319452.85200000001</v>
      </c>
      <c r="J14" s="4">
        <f t="shared" si="1"/>
        <v>328822</v>
      </c>
      <c r="L14" s="4">
        <f t="shared" ref="L14" si="2">$B$12*L10</f>
        <v>78889.817440000013</v>
      </c>
    </row>
    <row r="16" spans="2:12" ht="12" customHeight="1" thickBot="1" x14ac:dyDescent="0.3">
      <c r="B16" s="221" t="s">
        <v>28</v>
      </c>
      <c r="C16" s="221"/>
    </row>
    <row r="17" spans="2:12" ht="12" customHeight="1" x14ac:dyDescent="0.25">
      <c r="B17" s="64"/>
      <c r="C17" s="65" t="s">
        <v>1</v>
      </c>
      <c r="D17" s="66">
        <f t="shared" ref="D17:J18" si="3">D13/12</f>
        <v>528.17916666666667</v>
      </c>
      <c r="E17" s="66">
        <f t="shared" si="3"/>
        <v>2123.3749166666666</v>
      </c>
      <c r="F17" s="66">
        <f t="shared" si="3"/>
        <v>4271.2437500000005</v>
      </c>
      <c r="G17" s="66">
        <f t="shared" si="3"/>
        <v>7682.7562500000013</v>
      </c>
      <c r="H17" s="66">
        <f t="shared" si="3"/>
        <v>9501.6122500000001</v>
      </c>
      <c r="I17" s="66">
        <f t="shared" si="3"/>
        <v>22184.932000000001</v>
      </c>
      <c r="J17" s="66">
        <f t="shared" si="3"/>
        <v>22343.033333333336</v>
      </c>
      <c r="K17" s="65"/>
      <c r="L17" s="67"/>
    </row>
    <row r="18" spans="2:12" ht="12" customHeight="1" x14ac:dyDescent="0.25">
      <c r="B18" s="68"/>
      <c r="C18" s="17" t="s">
        <v>2</v>
      </c>
      <c r="D18" s="62">
        <f t="shared" si="3"/>
        <v>1056.3583333333333</v>
      </c>
      <c r="E18" s="62">
        <f t="shared" si="3"/>
        <v>4246.7498333333333</v>
      </c>
      <c r="F18" s="62">
        <f t="shared" si="3"/>
        <v>8542.4875000000011</v>
      </c>
      <c r="G18" s="62">
        <f t="shared" si="3"/>
        <v>15365.512500000003</v>
      </c>
      <c r="H18" s="62">
        <f t="shared" si="3"/>
        <v>19003.2245</v>
      </c>
      <c r="I18" s="62">
        <f t="shared" si="3"/>
        <v>26621.071</v>
      </c>
      <c r="J18" s="62">
        <f t="shared" si="3"/>
        <v>27401.833333333332</v>
      </c>
      <c r="K18" s="17"/>
      <c r="L18" s="69">
        <f>L14/12</f>
        <v>6574.1514533333348</v>
      </c>
    </row>
    <row r="19" spans="2:12" ht="12" customHeight="1" x14ac:dyDescent="0.25">
      <c r="B19" s="68"/>
      <c r="C19" s="17"/>
      <c r="D19" s="17"/>
      <c r="E19" s="17"/>
      <c r="F19" s="17"/>
      <c r="G19" s="17"/>
      <c r="H19" s="17"/>
      <c r="I19" s="17"/>
      <c r="J19" s="17"/>
      <c r="K19" s="17"/>
      <c r="L19" s="70"/>
    </row>
    <row r="20" spans="2:12" ht="12" customHeight="1" x14ac:dyDescent="0.25">
      <c r="B20" s="71">
        <v>0.3</v>
      </c>
      <c r="C20" s="30" t="s">
        <v>29</v>
      </c>
      <c r="D20" s="17"/>
      <c r="E20" s="17"/>
      <c r="F20" s="17"/>
      <c r="G20" s="17"/>
      <c r="H20" s="17"/>
      <c r="I20" s="17"/>
      <c r="J20" s="17"/>
      <c r="K20" s="17"/>
      <c r="L20" s="70"/>
    </row>
    <row r="21" spans="2:12" ht="12" customHeight="1" x14ac:dyDescent="0.25">
      <c r="B21" s="68"/>
      <c r="C21" s="17" t="s">
        <v>1</v>
      </c>
      <c r="D21" s="62">
        <f>$B$20*D17</f>
        <v>158.45374999999999</v>
      </c>
      <c r="E21" s="62">
        <f t="shared" ref="E21:J21" si="4">$B$20*E17</f>
        <v>637.01247499999999</v>
      </c>
      <c r="F21" s="62">
        <f t="shared" si="4"/>
        <v>1281.3731250000001</v>
      </c>
      <c r="G21" s="62">
        <f t="shared" si="4"/>
        <v>2304.8268750000002</v>
      </c>
      <c r="H21" s="62">
        <f t="shared" si="4"/>
        <v>2850.4836749999999</v>
      </c>
      <c r="I21" s="62">
        <f t="shared" si="4"/>
        <v>6655.4795999999997</v>
      </c>
      <c r="J21" s="62">
        <f t="shared" si="4"/>
        <v>6702.9100000000008</v>
      </c>
      <c r="K21" s="17"/>
      <c r="L21" s="69"/>
    </row>
    <row r="22" spans="2:12" ht="12" customHeight="1" x14ac:dyDescent="0.25">
      <c r="B22" s="68"/>
      <c r="C22" s="17" t="s">
        <v>2</v>
      </c>
      <c r="D22" s="62">
        <f>$B$20*D18</f>
        <v>316.90749999999997</v>
      </c>
      <c r="E22" s="62">
        <f t="shared" ref="E22:J22" si="5">$B$20*E18</f>
        <v>1274.02495</v>
      </c>
      <c r="F22" s="62">
        <f t="shared" si="5"/>
        <v>2562.7462500000001</v>
      </c>
      <c r="G22" s="62">
        <f t="shared" si="5"/>
        <v>4609.6537500000004</v>
      </c>
      <c r="H22" s="62">
        <f t="shared" si="5"/>
        <v>5700.9673499999999</v>
      </c>
      <c r="I22" s="62">
        <f t="shared" si="5"/>
        <v>7986.3212999999996</v>
      </c>
      <c r="J22" s="62">
        <f t="shared" si="5"/>
        <v>8220.5499999999993</v>
      </c>
      <c r="K22" s="17"/>
      <c r="L22" s="69">
        <f t="shared" ref="L22" si="6">$B$20*L18</f>
        <v>1972.2454360000004</v>
      </c>
    </row>
    <row r="23" spans="2:12" ht="12" customHeight="1" x14ac:dyDescent="0.25">
      <c r="B23" s="68"/>
      <c r="C23" s="17"/>
      <c r="D23" s="17"/>
      <c r="E23" s="17"/>
      <c r="F23" s="17"/>
      <c r="G23" s="17"/>
      <c r="H23" s="17"/>
      <c r="I23" s="17"/>
      <c r="J23" s="17"/>
      <c r="K23" s="17"/>
      <c r="L23" s="70"/>
    </row>
    <row r="24" spans="2:12" ht="12" customHeight="1" x14ac:dyDescent="0.25">
      <c r="B24" s="71">
        <v>0.1</v>
      </c>
      <c r="C24" s="30" t="s">
        <v>31</v>
      </c>
      <c r="D24" s="17"/>
      <c r="E24" s="17"/>
      <c r="F24" s="17"/>
      <c r="G24" s="17"/>
      <c r="H24" s="17"/>
      <c r="I24" s="17"/>
      <c r="J24" s="17"/>
      <c r="K24" s="17"/>
      <c r="L24" s="70"/>
    </row>
    <row r="25" spans="2:12" ht="12" customHeight="1" x14ac:dyDescent="0.25">
      <c r="B25" s="68"/>
      <c r="C25" s="17" t="s">
        <v>1</v>
      </c>
      <c r="D25" s="62">
        <f>$B$24*D17</f>
        <v>52.817916666666669</v>
      </c>
      <c r="E25" s="62">
        <f t="shared" ref="E25:J25" si="7">$B$24*E17</f>
        <v>212.33749166666666</v>
      </c>
      <c r="F25" s="62">
        <f t="shared" si="7"/>
        <v>427.1243750000001</v>
      </c>
      <c r="G25" s="62">
        <f t="shared" si="7"/>
        <v>768.27562500000022</v>
      </c>
      <c r="H25" s="62">
        <f t="shared" si="7"/>
        <v>950.16122500000006</v>
      </c>
      <c r="I25" s="62">
        <f t="shared" si="7"/>
        <v>2218.4932000000003</v>
      </c>
      <c r="J25" s="62">
        <f t="shared" si="7"/>
        <v>2234.3033333333337</v>
      </c>
      <c r="K25" s="62"/>
      <c r="L25" s="69"/>
    </row>
    <row r="26" spans="2:12" ht="12" customHeight="1" x14ac:dyDescent="0.25">
      <c r="B26" s="68"/>
      <c r="C26" s="17" t="s">
        <v>2</v>
      </c>
      <c r="D26" s="62">
        <f>$B$24*D18</f>
        <v>105.63583333333334</v>
      </c>
      <c r="E26" s="62">
        <f t="shared" ref="E26:J26" si="8">$B$24*E18</f>
        <v>424.67498333333333</v>
      </c>
      <c r="F26" s="62">
        <f t="shared" si="8"/>
        <v>854.2487500000002</v>
      </c>
      <c r="G26" s="62">
        <f t="shared" si="8"/>
        <v>1536.5512500000004</v>
      </c>
      <c r="H26" s="62">
        <f t="shared" si="8"/>
        <v>1900.3224500000001</v>
      </c>
      <c r="I26" s="62">
        <f t="shared" si="8"/>
        <v>2662.1071000000002</v>
      </c>
      <c r="J26" s="62">
        <f t="shared" si="8"/>
        <v>2740.1833333333334</v>
      </c>
      <c r="K26" s="62"/>
      <c r="L26" s="69">
        <f t="shared" ref="L26" si="9">$B$24*L18</f>
        <v>657.4151453333335</v>
      </c>
    </row>
    <row r="27" spans="2:12" ht="12" customHeight="1" x14ac:dyDescent="0.25">
      <c r="B27" s="68"/>
      <c r="C27" s="17"/>
      <c r="D27" s="17"/>
      <c r="E27" s="17"/>
      <c r="F27" s="17"/>
      <c r="G27" s="17"/>
      <c r="H27" s="17"/>
      <c r="I27" s="17"/>
      <c r="J27" s="17"/>
      <c r="K27" s="17"/>
      <c r="L27" s="70"/>
    </row>
    <row r="28" spans="2:12" ht="12" customHeight="1" x14ac:dyDescent="0.25">
      <c r="B28" s="71">
        <v>0.15</v>
      </c>
      <c r="C28" s="30" t="s">
        <v>40</v>
      </c>
      <c r="D28" s="17"/>
      <c r="E28" s="17"/>
      <c r="F28" s="17"/>
      <c r="G28" s="17"/>
      <c r="H28" s="17"/>
      <c r="I28" s="17"/>
      <c r="J28" s="17"/>
      <c r="K28" s="17"/>
      <c r="L28" s="70"/>
    </row>
    <row r="29" spans="2:12" ht="12" customHeight="1" x14ac:dyDescent="0.25">
      <c r="B29" s="68"/>
      <c r="C29" s="17" t="s">
        <v>1</v>
      </c>
      <c r="D29" s="62">
        <f>$B$28*D17</f>
        <v>79.226874999999993</v>
      </c>
      <c r="E29" s="62">
        <f t="shared" ref="E29:J29" si="10">$B$28*E17</f>
        <v>318.5062375</v>
      </c>
      <c r="F29" s="62">
        <f t="shared" si="10"/>
        <v>640.68656250000004</v>
      </c>
      <c r="G29" s="62">
        <f t="shared" si="10"/>
        <v>1152.4134375000001</v>
      </c>
      <c r="H29" s="62">
        <f t="shared" si="10"/>
        <v>1425.2418375</v>
      </c>
      <c r="I29" s="62">
        <f t="shared" si="10"/>
        <v>3327.7397999999998</v>
      </c>
      <c r="J29" s="62">
        <f t="shared" si="10"/>
        <v>3351.4550000000004</v>
      </c>
      <c r="K29" s="62"/>
      <c r="L29" s="69"/>
    </row>
    <row r="30" spans="2:12" ht="12" customHeight="1" x14ac:dyDescent="0.25">
      <c r="B30" s="68"/>
      <c r="C30" s="17" t="s">
        <v>2</v>
      </c>
      <c r="D30" s="62">
        <f>$B$28*D18</f>
        <v>158.45374999999999</v>
      </c>
      <c r="E30" s="62">
        <f t="shared" ref="E30:J30" si="11">$B$28*E18</f>
        <v>637.01247499999999</v>
      </c>
      <c r="F30" s="62">
        <f t="shared" si="11"/>
        <v>1281.3731250000001</v>
      </c>
      <c r="G30" s="62">
        <f t="shared" si="11"/>
        <v>2304.8268750000002</v>
      </c>
      <c r="H30" s="62">
        <f t="shared" si="11"/>
        <v>2850.4836749999999</v>
      </c>
      <c r="I30" s="62">
        <f t="shared" si="11"/>
        <v>3993.1606499999998</v>
      </c>
      <c r="J30" s="62">
        <f t="shared" si="11"/>
        <v>4110.2749999999996</v>
      </c>
      <c r="K30" s="62"/>
      <c r="L30" s="69">
        <f t="shared" ref="L30" si="12">$B$28*L18</f>
        <v>986.12271800000019</v>
      </c>
    </row>
    <row r="31" spans="2:12" ht="12" customHeight="1" x14ac:dyDescent="0.25">
      <c r="B31" s="68"/>
      <c r="C31" s="17"/>
      <c r="D31" s="17"/>
      <c r="E31" s="17"/>
      <c r="F31" s="17"/>
      <c r="G31" s="17"/>
      <c r="H31" s="17"/>
      <c r="I31" s="17"/>
      <c r="J31" s="17"/>
      <c r="K31" s="17"/>
      <c r="L31" s="70"/>
    </row>
    <row r="32" spans="2:12" ht="12" customHeight="1" x14ac:dyDescent="0.25">
      <c r="B32" s="71">
        <v>0.3</v>
      </c>
      <c r="C32" s="17" t="s">
        <v>41</v>
      </c>
      <c r="D32" s="17"/>
      <c r="E32" s="17"/>
      <c r="F32" s="17"/>
      <c r="G32" s="17"/>
      <c r="H32" s="17"/>
      <c r="I32" s="17"/>
      <c r="J32" s="17"/>
      <c r="K32" s="17"/>
      <c r="L32" s="70"/>
    </row>
    <row r="33" spans="2:12" ht="12" customHeight="1" x14ac:dyDescent="0.25">
      <c r="B33" s="68"/>
      <c r="C33" s="17" t="s">
        <v>1</v>
      </c>
      <c r="D33" s="62">
        <f>$B$32*D17</f>
        <v>158.45374999999999</v>
      </c>
      <c r="E33" s="62">
        <f t="shared" ref="E33:J33" si="13">$B$32*E17</f>
        <v>637.01247499999999</v>
      </c>
      <c r="F33" s="62">
        <f t="shared" si="13"/>
        <v>1281.3731250000001</v>
      </c>
      <c r="G33" s="62">
        <f t="shared" si="13"/>
        <v>2304.8268750000002</v>
      </c>
      <c r="H33" s="62">
        <f t="shared" si="13"/>
        <v>2850.4836749999999</v>
      </c>
      <c r="I33" s="62">
        <f t="shared" si="13"/>
        <v>6655.4795999999997</v>
      </c>
      <c r="J33" s="62">
        <f t="shared" si="13"/>
        <v>6702.9100000000008</v>
      </c>
      <c r="K33" s="62"/>
      <c r="L33" s="69"/>
    </row>
    <row r="34" spans="2:12" ht="12" customHeight="1" x14ac:dyDescent="0.25">
      <c r="B34" s="68"/>
      <c r="C34" s="17" t="s">
        <v>2</v>
      </c>
      <c r="D34" s="62">
        <f>$B$32*D18</f>
        <v>316.90749999999997</v>
      </c>
      <c r="E34" s="62">
        <f t="shared" ref="E34:J34" si="14">$B$32*E18</f>
        <v>1274.02495</v>
      </c>
      <c r="F34" s="62">
        <f t="shared" si="14"/>
        <v>2562.7462500000001</v>
      </c>
      <c r="G34" s="62">
        <f t="shared" si="14"/>
        <v>4609.6537500000004</v>
      </c>
      <c r="H34" s="62">
        <f t="shared" si="14"/>
        <v>5700.9673499999999</v>
      </c>
      <c r="I34" s="62">
        <f t="shared" si="14"/>
        <v>7986.3212999999996</v>
      </c>
      <c r="J34" s="62">
        <f t="shared" si="14"/>
        <v>8220.5499999999993</v>
      </c>
      <c r="K34" s="62"/>
      <c r="L34" s="69">
        <f t="shared" ref="L34" si="15">$B$32*L18</f>
        <v>1972.2454360000004</v>
      </c>
    </row>
    <row r="35" spans="2:12" ht="12" customHeight="1" x14ac:dyDescent="0.25">
      <c r="B35" s="68"/>
      <c r="C35" s="17"/>
      <c r="D35" s="17"/>
      <c r="E35" s="17"/>
      <c r="F35" s="17"/>
      <c r="G35" s="17"/>
      <c r="H35" s="17"/>
      <c r="I35" s="17"/>
      <c r="J35" s="17"/>
      <c r="K35" s="17"/>
      <c r="L35" s="70"/>
    </row>
    <row r="36" spans="2:12" ht="12" customHeight="1" x14ac:dyDescent="0.25">
      <c r="B36" s="71">
        <f>1-B20-B24-B28-B32</f>
        <v>0.14999999999999997</v>
      </c>
      <c r="C36" s="30" t="s">
        <v>42</v>
      </c>
      <c r="D36" s="17"/>
      <c r="E36" s="17"/>
      <c r="F36" s="17"/>
      <c r="G36" s="17"/>
      <c r="H36" s="17"/>
      <c r="I36" s="17"/>
      <c r="J36" s="17"/>
      <c r="K36" s="17"/>
      <c r="L36" s="70"/>
    </row>
    <row r="37" spans="2:12" ht="12" customHeight="1" x14ac:dyDescent="0.25">
      <c r="B37" s="68"/>
      <c r="C37" s="17" t="s">
        <v>1</v>
      </c>
      <c r="D37" s="62">
        <f>$B$36*D17</f>
        <v>79.226874999999978</v>
      </c>
      <c r="E37" s="62">
        <f t="shared" ref="E37:J37" si="16">$B$36*E17</f>
        <v>318.50623749999994</v>
      </c>
      <c r="F37" s="62">
        <f t="shared" si="16"/>
        <v>640.68656249999992</v>
      </c>
      <c r="G37" s="62">
        <f t="shared" si="16"/>
        <v>1152.4134374999999</v>
      </c>
      <c r="H37" s="62">
        <f t="shared" si="16"/>
        <v>1425.2418374999997</v>
      </c>
      <c r="I37" s="62">
        <f t="shared" si="16"/>
        <v>3327.7397999999994</v>
      </c>
      <c r="J37" s="62">
        <f t="shared" si="16"/>
        <v>3351.4549999999999</v>
      </c>
      <c r="K37" s="62"/>
      <c r="L37" s="69"/>
    </row>
    <row r="38" spans="2:12" ht="12" customHeight="1" thickBot="1" x14ac:dyDescent="0.3">
      <c r="B38" s="72"/>
      <c r="C38" s="73" t="s">
        <v>2</v>
      </c>
      <c r="D38" s="74">
        <f>$B$36*D18</f>
        <v>158.45374999999996</v>
      </c>
      <c r="E38" s="74">
        <f t="shared" ref="E38:L38" si="17">$B$36*E18</f>
        <v>637.01247499999988</v>
      </c>
      <c r="F38" s="74">
        <f t="shared" si="17"/>
        <v>1281.3731249999998</v>
      </c>
      <c r="G38" s="74">
        <f t="shared" si="17"/>
        <v>2304.8268749999997</v>
      </c>
      <c r="H38" s="74">
        <f t="shared" si="17"/>
        <v>2850.4836749999995</v>
      </c>
      <c r="I38" s="74">
        <f t="shared" si="17"/>
        <v>3993.1606499999989</v>
      </c>
      <c r="J38" s="74">
        <f t="shared" si="17"/>
        <v>4110.2749999999987</v>
      </c>
      <c r="K38" s="74"/>
      <c r="L38" s="75">
        <f t="shared" si="17"/>
        <v>986.12271799999996</v>
      </c>
    </row>
  </sheetData>
  <mergeCells count="3">
    <mergeCell ref="D3:J3"/>
    <mergeCell ref="G4:H4"/>
    <mergeCell ref="B16:C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19E6C-128C-4714-B2E1-9EFB1278FBB6}">
  <dimension ref="A1:AG52"/>
  <sheetViews>
    <sheetView zoomScale="90" zoomScaleNormal="90" workbookViewId="0">
      <selection activeCell="H20" sqref="H20"/>
    </sheetView>
  </sheetViews>
  <sheetFormatPr defaultRowHeight="12.75" x14ac:dyDescent="0.2"/>
  <cols>
    <col min="1" max="1" width="13.42578125" style="108" bestFit="1" customWidth="1"/>
    <col min="2" max="17" width="10" style="108" bestFit="1" customWidth="1"/>
    <col min="18" max="19" width="11.7109375" style="108" bestFit="1" customWidth="1"/>
    <col min="20" max="21" width="10" style="108" bestFit="1" customWidth="1"/>
    <col min="22" max="23" width="11.28515625" style="108" bestFit="1" customWidth="1"/>
    <col min="24" max="26" width="11" style="108" bestFit="1" customWidth="1"/>
    <col min="27" max="27" width="9.140625" style="108"/>
    <col min="28" max="28" width="11" style="108" bestFit="1" customWidth="1"/>
    <col min="29" max="29" width="9.140625" style="108"/>
    <col min="30" max="30" width="13.42578125" style="108" bestFit="1" customWidth="1"/>
    <col min="31" max="33" width="12" style="108" bestFit="1" customWidth="1"/>
    <col min="34" max="16384" width="9.140625" style="108"/>
  </cols>
  <sheetData>
    <row r="1" spans="1:33" ht="13.5" thickBot="1" x14ac:dyDescent="0.25">
      <c r="B1" s="109" t="s">
        <v>111</v>
      </c>
      <c r="C1" s="109" t="s">
        <v>112</v>
      </c>
      <c r="D1" s="110" t="s">
        <v>113</v>
      </c>
      <c r="E1" s="110" t="s">
        <v>114</v>
      </c>
      <c r="F1" s="111" t="s">
        <v>115</v>
      </c>
      <c r="G1" s="111" t="s">
        <v>116</v>
      </c>
      <c r="H1" s="111" t="s">
        <v>117</v>
      </c>
      <c r="I1" s="111" t="s">
        <v>118</v>
      </c>
      <c r="J1" s="111" t="s">
        <v>119</v>
      </c>
      <c r="K1" s="111" t="s">
        <v>120</v>
      </c>
      <c r="L1" s="111" t="s">
        <v>121</v>
      </c>
      <c r="M1" s="111" t="s">
        <v>122</v>
      </c>
      <c r="N1" s="111" t="s">
        <v>123</v>
      </c>
      <c r="O1" s="111" t="s">
        <v>124</v>
      </c>
      <c r="P1" s="111" t="s">
        <v>125</v>
      </c>
      <c r="Q1" s="111" t="s">
        <v>126</v>
      </c>
      <c r="R1" s="111" t="s">
        <v>127</v>
      </c>
      <c r="S1" s="111" t="s">
        <v>128</v>
      </c>
      <c r="T1" s="111" t="s">
        <v>129</v>
      </c>
      <c r="U1" s="111" t="s">
        <v>130</v>
      </c>
      <c r="V1" s="111" t="s">
        <v>131</v>
      </c>
      <c r="W1" s="111" t="s">
        <v>132</v>
      </c>
      <c r="X1" s="111" t="s">
        <v>133</v>
      </c>
      <c r="Y1" s="111" t="s">
        <v>134</v>
      </c>
      <c r="Z1" s="112" t="s">
        <v>58</v>
      </c>
      <c r="AE1" s="108">
        <v>72000</v>
      </c>
      <c r="AF1" s="113"/>
    </row>
    <row r="2" spans="1:33" x14ac:dyDescent="0.2">
      <c r="A2" s="114" t="s">
        <v>135</v>
      </c>
      <c r="B2" s="115">
        <v>3000</v>
      </c>
      <c r="C2" s="115">
        <v>3000</v>
      </c>
      <c r="D2" s="115">
        <v>3000</v>
      </c>
      <c r="E2" s="115">
        <v>3000</v>
      </c>
      <c r="F2" s="115">
        <v>3000</v>
      </c>
      <c r="G2" s="115">
        <v>3000</v>
      </c>
      <c r="H2" s="115">
        <v>3140.1</v>
      </c>
      <c r="I2" s="115">
        <v>3140.1</v>
      </c>
      <c r="J2" s="115">
        <v>3140.1</v>
      </c>
      <c r="K2" s="115">
        <v>3140.1</v>
      </c>
      <c r="L2" s="115">
        <v>3140.1</v>
      </c>
      <c r="M2" s="115">
        <v>3140.1</v>
      </c>
      <c r="N2" s="115">
        <v>3140.1</v>
      </c>
      <c r="O2" s="115">
        <v>3140.1</v>
      </c>
      <c r="P2" s="115">
        <v>3140.1</v>
      </c>
      <c r="Q2" s="115">
        <v>3140.1</v>
      </c>
      <c r="R2" s="115">
        <v>3140.1</v>
      </c>
      <c r="S2" s="115">
        <v>3140.1</v>
      </c>
      <c r="T2" s="115">
        <v>3140.1</v>
      </c>
      <c r="U2" s="115">
        <v>3140.1</v>
      </c>
      <c r="V2" s="115">
        <v>3140.1</v>
      </c>
      <c r="W2" s="115">
        <v>3140.1</v>
      </c>
      <c r="X2" s="115">
        <v>3140.1</v>
      </c>
      <c r="Y2" s="115">
        <v>3140.1</v>
      </c>
      <c r="Z2" s="116">
        <f>SUM(B2:Y2)</f>
        <v>74521.799999999988</v>
      </c>
      <c r="AB2" s="117">
        <v>12550</v>
      </c>
      <c r="AF2" s="113"/>
    </row>
    <row r="3" spans="1:33" x14ac:dyDescent="0.2">
      <c r="A3" s="118"/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9"/>
      <c r="AB3" s="113">
        <f>Z16</f>
        <v>3726.1800000000021</v>
      </c>
      <c r="AD3" s="120">
        <v>0.1</v>
      </c>
      <c r="AE3" s="121">
        <v>9875</v>
      </c>
      <c r="AF3" s="113">
        <v>9875</v>
      </c>
      <c r="AG3" s="117">
        <f>AD3*AF3</f>
        <v>987.5</v>
      </c>
    </row>
    <row r="4" spans="1:33" x14ac:dyDescent="0.2">
      <c r="A4" s="118" t="s">
        <v>9</v>
      </c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9"/>
      <c r="AB4" s="113">
        <f>Z2-AB2-AB3</f>
        <v>58245.619999999988</v>
      </c>
      <c r="AD4" s="120">
        <v>0.12</v>
      </c>
      <c r="AE4" s="121">
        <v>9875</v>
      </c>
      <c r="AF4" s="113">
        <f>AE5-AE4</f>
        <v>30250</v>
      </c>
      <c r="AG4" s="117">
        <f>AD4*AF4</f>
        <v>3630</v>
      </c>
    </row>
    <row r="5" spans="1:33" x14ac:dyDescent="0.2">
      <c r="A5" s="122" t="s">
        <v>136</v>
      </c>
      <c r="B5" s="117">
        <v>327.23</v>
      </c>
      <c r="C5" s="117">
        <v>327.23</v>
      </c>
      <c r="D5" s="117">
        <v>327.23</v>
      </c>
      <c r="E5" s="117">
        <v>327.23</v>
      </c>
      <c r="F5" s="117">
        <v>327.23</v>
      </c>
      <c r="G5" s="117">
        <v>327.23</v>
      </c>
      <c r="H5" s="117">
        <v>356.51</v>
      </c>
      <c r="I5" s="117">
        <v>356.51</v>
      </c>
      <c r="J5" s="117">
        <v>356.51</v>
      </c>
      <c r="K5" s="117">
        <v>356.51</v>
      </c>
      <c r="L5" s="117">
        <v>356.51</v>
      </c>
      <c r="M5" s="117">
        <v>356.51</v>
      </c>
      <c r="N5" s="117">
        <v>356.51</v>
      </c>
      <c r="O5" s="117">
        <v>356.51</v>
      </c>
      <c r="P5" s="117">
        <v>356.51</v>
      </c>
      <c r="Q5" s="117">
        <v>356.51</v>
      </c>
      <c r="R5" s="117">
        <v>356.51</v>
      </c>
      <c r="S5" s="117">
        <v>356.51</v>
      </c>
      <c r="T5" s="117">
        <v>356.51</v>
      </c>
      <c r="U5" s="117">
        <v>356.51</v>
      </c>
      <c r="V5" s="117">
        <v>356.51</v>
      </c>
      <c r="W5" s="117">
        <v>356.51</v>
      </c>
      <c r="X5" s="117">
        <v>356.51</v>
      </c>
      <c r="Y5" s="117">
        <v>356.51</v>
      </c>
      <c r="Z5" s="119">
        <f>SUM(B5:Y5)</f>
        <v>8380.5600000000031</v>
      </c>
      <c r="AB5" s="120"/>
      <c r="AD5" s="120">
        <v>0.22</v>
      </c>
      <c r="AE5" s="121">
        <v>40125</v>
      </c>
      <c r="AF5" s="113">
        <f>AB4-AE5</f>
        <v>18120.619999999988</v>
      </c>
      <c r="AG5" s="117">
        <f>AD5*AF5</f>
        <v>3986.5363999999972</v>
      </c>
    </row>
    <row r="6" spans="1:33" x14ac:dyDescent="0.2">
      <c r="A6" s="122" t="s">
        <v>49</v>
      </c>
      <c r="B6" s="117">
        <v>184.09</v>
      </c>
      <c r="C6" s="117">
        <v>184.1</v>
      </c>
      <c r="D6" s="117">
        <v>184.09</v>
      </c>
      <c r="E6" s="117">
        <v>184.09</v>
      </c>
      <c r="F6" s="117">
        <v>184.1</v>
      </c>
      <c r="G6" s="117">
        <v>184.09</v>
      </c>
      <c r="H6" s="117">
        <v>192.8</v>
      </c>
      <c r="I6" s="117">
        <v>192.8</v>
      </c>
      <c r="J6" s="117">
        <v>192.8</v>
      </c>
      <c r="K6" s="117">
        <v>192.8</v>
      </c>
      <c r="L6" s="117">
        <v>192.8</v>
      </c>
      <c r="M6" s="117">
        <v>192.8</v>
      </c>
      <c r="N6" s="117">
        <v>192.8</v>
      </c>
      <c r="O6" s="117">
        <v>192.8</v>
      </c>
      <c r="P6" s="117">
        <v>192.8</v>
      </c>
      <c r="Q6" s="117">
        <v>192.8</v>
      </c>
      <c r="R6" s="117">
        <v>192.8</v>
      </c>
      <c r="S6" s="117">
        <v>192.8</v>
      </c>
      <c r="T6" s="117">
        <v>192.8</v>
      </c>
      <c r="U6" s="117">
        <v>192.8</v>
      </c>
      <c r="V6" s="117">
        <v>192.8</v>
      </c>
      <c r="W6" s="117">
        <v>192.8</v>
      </c>
      <c r="X6" s="117">
        <v>192.8</v>
      </c>
      <c r="Y6" s="117">
        <v>192.8</v>
      </c>
      <c r="Z6" s="119">
        <f>SUM(B6:Y6)</f>
        <v>4574.9600000000019</v>
      </c>
      <c r="AB6" s="121"/>
      <c r="AD6" s="120"/>
      <c r="AE6" s="121"/>
      <c r="AF6" s="113"/>
      <c r="AG6" s="117">
        <f>SUM(AG3:AG5)</f>
        <v>8604.0363999999972</v>
      </c>
    </row>
    <row r="7" spans="1:33" x14ac:dyDescent="0.2">
      <c r="A7" s="122" t="s">
        <v>48</v>
      </c>
      <c r="B7" s="117">
        <v>43.05</v>
      </c>
      <c r="C7" s="117">
        <v>43.06</v>
      </c>
      <c r="D7" s="117">
        <v>43.06</v>
      </c>
      <c r="E7" s="117">
        <v>43.05</v>
      </c>
      <c r="F7" s="117">
        <v>43.05</v>
      </c>
      <c r="G7" s="117">
        <v>43.05</v>
      </c>
      <c r="H7" s="117">
        <v>45.09</v>
      </c>
      <c r="I7" s="117">
        <v>45.09</v>
      </c>
      <c r="J7" s="117">
        <v>45.09</v>
      </c>
      <c r="K7" s="117">
        <v>45.09</v>
      </c>
      <c r="L7" s="117">
        <v>45.09</v>
      </c>
      <c r="M7" s="117">
        <v>45.09</v>
      </c>
      <c r="N7" s="117">
        <v>45.09</v>
      </c>
      <c r="O7" s="117">
        <v>45.09</v>
      </c>
      <c r="P7" s="117">
        <v>45.09</v>
      </c>
      <c r="Q7" s="117">
        <v>45.09</v>
      </c>
      <c r="R7" s="117">
        <v>45.09</v>
      </c>
      <c r="S7" s="117">
        <v>45.09</v>
      </c>
      <c r="T7" s="117">
        <v>45.09</v>
      </c>
      <c r="U7" s="117">
        <v>45.09</v>
      </c>
      <c r="V7" s="117">
        <v>45.09</v>
      </c>
      <c r="W7" s="117">
        <v>45.09</v>
      </c>
      <c r="X7" s="117">
        <v>45.09</v>
      </c>
      <c r="Y7" s="117">
        <v>45.09</v>
      </c>
      <c r="Z7" s="119">
        <f>SUM(B7:Y7)</f>
        <v>1069.9400000000005</v>
      </c>
      <c r="AD7" s="120"/>
      <c r="AE7" s="121"/>
      <c r="AF7" s="113"/>
      <c r="AG7" s="120"/>
    </row>
    <row r="8" spans="1:33" x14ac:dyDescent="0.2">
      <c r="A8" s="114" t="s">
        <v>58</v>
      </c>
      <c r="B8" s="115">
        <f>SUM(B5:B7)</f>
        <v>554.37</v>
      </c>
      <c r="C8" s="115">
        <f t="shared" ref="C8:Y8" si="0">SUM(C5:C7)</f>
        <v>554.3900000000001</v>
      </c>
      <c r="D8" s="115">
        <f t="shared" si="0"/>
        <v>554.38000000000011</v>
      </c>
      <c r="E8" s="115">
        <f t="shared" si="0"/>
        <v>554.37</v>
      </c>
      <c r="F8" s="115">
        <f t="shared" si="0"/>
        <v>554.38</v>
      </c>
      <c r="G8" s="115">
        <f t="shared" si="0"/>
        <v>554.37</v>
      </c>
      <c r="H8" s="115">
        <f t="shared" si="0"/>
        <v>594.4</v>
      </c>
      <c r="I8" s="115">
        <f t="shared" si="0"/>
        <v>594.4</v>
      </c>
      <c r="J8" s="115">
        <f t="shared" si="0"/>
        <v>594.4</v>
      </c>
      <c r="K8" s="115">
        <f t="shared" si="0"/>
        <v>594.4</v>
      </c>
      <c r="L8" s="115">
        <f t="shared" si="0"/>
        <v>594.4</v>
      </c>
      <c r="M8" s="115">
        <f t="shared" si="0"/>
        <v>594.4</v>
      </c>
      <c r="N8" s="115">
        <f t="shared" si="0"/>
        <v>594.4</v>
      </c>
      <c r="O8" s="115">
        <f t="shared" si="0"/>
        <v>594.4</v>
      </c>
      <c r="P8" s="115">
        <f t="shared" si="0"/>
        <v>594.4</v>
      </c>
      <c r="Q8" s="115">
        <f t="shared" si="0"/>
        <v>594.4</v>
      </c>
      <c r="R8" s="115">
        <f t="shared" si="0"/>
        <v>594.4</v>
      </c>
      <c r="S8" s="115">
        <f t="shared" si="0"/>
        <v>594.4</v>
      </c>
      <c r="T8" s="115">
        <f t="shared" si="0"/>
        <v>594.4</v>
      </c>
      <c r="U8" s="115">
        <f t="shared" si="0"/>
        <v>594.4</v>
      </c>
      <c r="V8" s="115">
        <f t="shared" si="0"/>
        <v>594.4</v>
      </c>
      <c r="W8" s="115">
        <f t="shared" si="0"/>
        <v>594.4</v>
      </c>
      <c r="X8" s="115">
        <f t="shared" si="0"/>
        <v>594.4</v>
      </c>
      <c r="Y8" s="115">
        <f t="shared" si="0"/>
        <v>594.4</v>
      </c>
      <c r="Z8" s="116">
        <f>SUM(B8:Y8)</f>
        <v>14025.459999999995</v>
      </c>
    </row>
    <row r="9" spans="1:33" x14ac:dyDescent="0.2">
      <c r="A9" s="118"/>
      <c r="B9" s="123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19"/>
    </row>
    <row r="10" spans="1:33" x14ac:dyDescent="0.2">
      <c r="A10" s="118" t="s">
        <v>137</v>
      </c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9"/>
    </row>
    <row r="11" spans="1:33" x14ac:dyDescent="0.2">
      <c r="A11" s="122" t="s">
        <v>138</v>
      </c>
      <c r="B11" s="117">
        <v>4.97</v>
      </c>
      <c r="C11" s="117">
        <v>4.97</v>
      </c>
      <c r="D11" s="117">
        <v>4.97</v>
      </c>
      <c r="E11" s="117">
        <v>4.97</v>
      </c>
      <c r="F11" s="117">
        <v>4.97</v>
      </c>
      <c r="G11" s="117">
        <v>4.97</v>
      </c>
      <c r="H11" s="117">
        <v>4.97</v>
      </c>
      <c r="I11" s="117">
        <v>4.97</v>
      </c>
      <c r="J11" s="117">
        <v>4.97</v>
      </c>
      <c r="K11" s="117">
        <v>4.97</v>
      </c>
      <c r="L11" s="117">
        <v>4.97</v>
      </c>
      <c r="M11" s="117">
        <v>4.97</v>
      </c>
      <c r="N11" s="117">
        <v>4.97</v>
      </c>
      <c r="O11" s="117">
        <v>4.97</v>
      </c>
      <c r="P11" s="117">
        <v>4.97</v>
      </c>
      <c r="Q11" s="117">
        <v>4.97</v>
      </c>
      <c r="R11" s="117">
        <v>4.97</v>
      </c>
      <c r="S11" s="117">
        <v>4.97</v>
      </c>
      <c r="T11" s="117">
        <v>4.97</v>
      </c>
      <c r="U11" s="117">
        <v>4.97</v>
      </c>
      <c r="V11" s="117">
        <v>4.97</v>
      </c>
      <c r="W11" s="117">
        <v>4.97</v>
      </c>
      <c r="X11" s="117">
        <v>4.97</v>
      </c>
      <c r="Y11" s="117">
        <v>4.97</v>
      </c>
      <c r="Z11" s="119">
        <f>SUM(B11:Y11)</f>
        <v>119.27999999999999</v>
      </c>
    </row>
    <row r="12" spans="1:33" x14ac:dyDescent="0.2">
      <c r="A12" s="122" t="s">
        <v>139</v>
      </c>
      <c r="B12" s="117">
        <v>24.05</v>
      </c>
      <c r="C12" s="117">
        <v>24.05</v>
      </c>
      <c r="D12" s="117">
        <v>24.05</v>
      </c>
      <c r="E12" s="117">
        <v>24.05</v>
      </c>
      <c r="F12" s="117">
        <v>24.05</v>
      </c>
      <c r="G12" s="117">
        <v>24.05</v>
      </c>
      <c r="H12" s="117">
        <v>24.05</v>
      </c>
      <c r="I12" s="117">
        <v>24.05</v>
      </c>
      <c r="J12" s="117">
        <v>24.05</v>
      </c>
      <c r="K12" s="117">
        <v>24.05</v>
      </c>
      <c r="L12" s="117">
        <v>24.05</v>
      </c>
      <c r="M12" s="117">
        <v>24.05</v>
      </c>
      <c r="N12" s="117">
        <v>24.05</v>
      </c>
      <c r="O12" s="117">
        <v>24.05</v>
      </c>
      <c r="P12" s="117">
        <v>24.05</v>
      </c>
      <c r="Q12" s="117">
        <v>24.05</v>
      </c>
      <c r="R12" s="117">
        <v>24.05</v>
      </c>
      <c r="S12" s="117">
        <v>24.05</v>
      </c>
      <c r="T12" s="117">
        <v>24.05</v>
      </c>
      <c r="U12" s="117">
        <v>24.05</v>
      </c>
      <c r="V12" s="117">
        <v>24.05</v>
      </c>
      <c r="W12" s="117">
        <v>24.05</v>
      </c>
      <c r="X12" s="117">
        <v>24.05</v>
      </c>
      <c r="Y12" s="117">
        <v>24.05</v>
      </c>
      <c r="Z12" s="119">
        <f>SUM(B12:Y12)</f>
        <v>577.20000000000005</v>
      </c>
    </row>
    <row r="13" spans="1:33" x14ac:dyDescent="0.2">
      <c r="A13" s="122" t="s">
        <v>140</v>
      </c>
      <c r="B13" s="117">
        <v>5.49</v>
      </c>
      <c r="C13" s="117">
        <v>5.49</v>
      </c>
      <c r="D13" s="117">
        <v>5.49</v>
      </c>
      <c r="E13" s="117">
        <v>5.49</v>
      </c>
      <c r="F13" s="117">
        <v>5.49</v>
      </c>
      <c r="G13" s="117">
        <v>5.49</v>
      </c>
      <c r="H13" s="117">
        <v>5.49</v>
      </c>
      <c r="I13" s="117">
        <v>5.49</v>
      </c>
      <c r="J13" s="117">
        <v>5.49</v>
      </c>
      <c r="K13" s="117">
        <v>5.49</v>
      </c>
      <c r="L13" s="117">
        <v>5.49</v>
      </c>
      <c r="M13" s="117">
        <v>5.49</v>
      </c>
      <c r="N13" s="117">
        <v>5.49</v>
      </c>
      <c r="O13" s="117">
        <v>5.49</v>
      </c>
      <c r="P13" s="117">
        <v>5.49</v>
      </c>
      <c r="Q13" s="117">
        <v>5.49</v>
      </c>
      <c r="R13" s="117">
        <v>5.49</v>
      </c>
      <c r="S13" s="117">
        <v>5.49</v>
      </c>
      <c r="T13" s="117">
        <v>5.49</v>
      </c>
      <c r="U13" s="117">
        <v>5.49</v>
      </c>
      <c r="V13" s="117">
        <v>5.49</v>
      </c>
      <c r="W13" s="117">
        <v>5.49</v>
      </c>
      <c r="X13" s="117">
        <v>5.49</v>
      </c>
      <c r="Y13" s="117">
        <v>5.49</v>
      </c>
      <c r="Z13" s="119">
        <f>SUM(B13:Y13)</f>
        <v>131.75999999999996</v>
      </c>
    </row>
    <row r="14" spans="1:33" x14ac:dyDescent="0.2">
      <c r="A14" s="114" t="s">
        <v>58</v>
      </c>
      <c r="B14" s="115">
        <f>SUM(B11:B13)</f>
        <v>34.51</v>
      </c>
      <c r="C14" s="115">
        <f t="shared" ref="C14:Y14" si="1">SUM(C11:C13)</f>
        <v>34.51</v>
      </c>
      <c r="D14" s="115">
        <f t="shared" si="1"/>
        <v>34.51</v>
      </c>
      <c r="E14" s="115">
        <f t="shared" si="1"/>
        <v>34.51</v>
      </c>
      <c r="F14" s="115">
        <f t="shared" si="1"/>
        <v>34.51</v>
      </c>
      <c r="G14" s="115">
        <f t="shared" si="1"/>
        <v>34.51</v>
      </c>
      <c r="H14" s="115">
        <f t="shared" si="1"/>
        <v>34.51</v>
      </c>
      <c r="I14" s="115">
        <f t="shared" si="1"/>
        <v>34.51</v>
      </c>
      <c r="J14" s="115">
        <f t="shared" si="1"/>
        <v>34.51</v>
      </c>
      <c r="K14" s="115">
        <f t="shared" si="1"/>
        <v>34.51</v>
      </c>
      <c r="L14" s="115">
        <f t="shared" si="1"/>
        <v>34.51</v>
      </c>
      <c r="M14" s="115">
        <f t="shared" si="1"/>
        <v>34.51</v>
      </c>
      <c r="N14" s="115">
        <f t="shared" si="1"/>
        <v>34.51</v>
      </c>
      <c r="O14" s="115">
        <f t="shared" si="1"/>
        <v>34.51</v>
      </c>
      <c r="P14" s="115">
        <f t="shared" si="1"/>
        <v>34.51</v>
      </c>
      <c r="Q14" s="115">
        <f t="shared" si="1"/>
        <v>34.51</v>
      </c>
      <c r="R14" s="115">
        <f t="shared" si="1"/>
        <v>34.51</v>
      </c>
      <c r="S14" s="115">
        <f t="shared" si="1"/>
        <v>34.51</v>
      </c>
      <c r="T14" s="115">
        <f t="shared" si="1"/>
        <v>34.51</v>
      </c>
      <c r="U14" s="115">
        <f t="shared" si="1"/>
        <v>34.51</v>
      </c>
      <c r="V14" s="115">
        <f t="shared" si="1"/>
        <v>34.51</v>
      </c>
      <c r="W14" s="115">
        <f t="shared" si="1"/>
        <v>34.51</v>
      </c>
      <c r="X14" s="115">
        <f t="shared" si="1"/>
        <v>34.51</v>
      </c>
      <c r="Y14" s="115">
        <f t="shared" si="1"/>
        <v>34.51</v>
      </c>
      <c r="Z14" s="116">
        <f>SUM(B14:Y14)</f>
        <v>828.2399999999999</v>
      </c>
    </row>
    <row r="15" spans="1:33" x14ac:dyDescent="0.2">
      <c r="A15" s="118"/>
      <c r="Z15" s="124"/>
    </row>
    <row r="16" spans="1:33" x14ac:dyDescent="0.2">
      <c r="A16" s="125" t="s">
        <v>141</v>
      </c>
      <c r="B16" s="126">
        <v>150</v>
      </c>
      <c r="C16" s="126">
        <v>150</v>
      </c>
      <c r="D16" s="126">
        <v>150</v>
      </c>
      <c r="E16" s="126">
        <v>150</v>
      </c>
      <c r="F16" s="126">
        <v>150</v>
      </c>
      <c r="G16" s="126">
        <v>150</v>
      </c>
      <c r="H16" s="126">
        <v>157.01</v>
      </c>
      <c r="I16" s="126">
        <v>157.01</v>
      </c>
      <c r="J16" s="126">
        <v>157.01</v>
      </c>
      <c r="K16" s="126">
        <v>157.01</v>
      </c>
      <c r="L16" s="126">
        <v>157.01</v>
      </c>
      <c r="M16" s="126">
        <v>157.01</v>
      </c>
      <c r="N16" s="126">
        <v>157.01</v>
      </c>
      <c r="O16" s="126">
        <v>157.01</v>
      </c>
      <c r="P16" s="126">
        <v>157.01</v>
      </c>
      <c r="Q16" s="126">
        <v>157.01</v>
      </c>
      <c r="R16" s="126">
        <v>157.01</v>
      </c>
      <c r="S16" s="126">
        <v>157.01</v>
      </c>
      <c r="T16" s="126">
        <v>157.01</v>
      </c>
      <c r="U16" s="126">
        <v>157.01</v>
      </c>
      <c r="V16" s="126">
        <v>157.01</v>
      </c>
      <c r="W16" s="126">
        <v>157.01</v>
      </c>
      <c r="X16" s="126">
        <v>157.01</v>
      </c>
      <c r="Y16" s="126">
        <v>157.01</v>
      </c>
      <c r="Z16" s="127">
        <f>SUM(B16:Y16)</f>
        <v>3726.1800000000021</v>
      </c>
    </row>
    <row r="17" spans="1:31" x14ac:dyDescent="0.2">
      <c r="Z17" s="124"/>
    </row>
    <row r="18" spans="1:31" ht="13.5" thickBot="1" x14ac:dyDescent="0.25">
      <c r="A18" s="128" t="s">
        <v>142</v>
      </c>
      <c r="B18" s="129">
        <f>B2-B8-B14-B16</f>
        <v>2261.12</v>
      </c>
      <c r="C18" s="129">
        <f t="shared" ref="C18:Y18" si="2">C2-C8-C14-C16</f>
        <v>2261.0999999999995</v>
      </c>
      <c r="D18" s="129">
        <f t="shared" si="2"/>
        <v>2261.1099999999997</v>
      </c>
      <c r="E18" s="129">
        <f t="shared" si="2"/>
        <v>2261.12</v>
      </c>
      <c r="F18" s="129">
        <f t="shared" si="2"/>
        <v>2261.1099999999997</v>
      </c>
      <c r="G18" s="129">
        <f t="shared" si="2"/>
        <v>2261.12</v>
      </c>
      <c r="H18" s="129">
        <f>H2-H8-H14-H16</f>
        <v>2354.1799999999994</v>
      </c>
      <c r="I18" s="129">
        <f t="shared" si="2"/>
        <v>2354.1799999999994</v>
      </c>
      <c r="J18" s="129">
        <f t="shared" si="2"/>
        <v>2354.1799999999994</v>
      </c>
      <c r="K18" s="129">
        <f t="shared" si="2"/>
        <v>2354.1799999999994</v>
      </c>
      <c r="L18" s="129">
        <f t="shared" si="2"/>
        <v>2354.1799999999994</v>
      </c>
      <c r="M18" s="129">
        <f t="shared" si="2"/>
        <v>2354.1799999999994</v>
      </c>
      <c r="N18" s="129">
        <f t="shared" si="2"/>
        <v>2354.1799999999994</v>
      </c>
      <c r="O18" s="129">
        <f t="shared" si="2"/>
        <v>2354.1799999999994</v>
      </c>
      <c r="P18" s="129">
        <f t="shared" si="2"/>
        <v>2354.1799999999994</v>
      </c>
      <c r="Q18" s="129">
        <f t="shared" si="2"/>
        <v>2354.1799999999994</v>
      </c>
      <c r="R18" s="129">
        <f t="shared" si="2"/>
        <v>2354.1799999999994</v>
      </c>
      <c r="S18" s="129">
        <f t="shared" si="2"/>
        <v>2354.1799999999994</v>
      </c>
      <c r="T18" s="129">
        <f t="shared" si="2"/>
        <v>2354.1799999999994</v>
      </c>
      <c r="U18" s="129">
        <f t="shared" si="2"/>
        <v>2354.1799999999994</v>
      </c>
      <c r="V18" s="129">
        <f t="shared" si="2"/>
        <v>2354.1799999999994</v>
      </c>
      <c r="W18" s="129">
        <f t="shared" si="2"/>
        <v>2354.1799999999994</v>
      </c>
      <c r="X18" s="129">
        <f t="shared" si="2"/>
        <v>2354.1799999999994</v>
      </c>
      <c r="Y18" s="129">
        <f t="shared" si="2"/>
        <v>2354.1799999999994</v>
      </c>
      <c r="Z18" s="130">
        <f>SUM(B18:Y18)</f>
        <v>55941.919999999998</v>
      </c>
    </row>
    <row r="19" spans="1:31" ht="13.5" thickTop="1" x14ac:dyDescent="0.2">
      <c r="I19" s="113"/>
      <c r="J19" s="113"/>
      <c r="K19" s="117"/>
      <c r="L19" s="117"/>
      <c r="Z19" s="124"/>
    </row>
    <row r="20" spans="1:31" x14ac:dyDescent="0.2">
      <c r="A20" s="118"/>
      <c r="B20" s="117"/>
      <c r="C20" s="117"/>
      <c r="D20" s="117"/>
      <c r="E20" s="117"/>
      <c r="F20" s="117"/>
      <c r="G20" s="117"/>
      <c r="H20" s="117"/>
      <c r="I20" s="117" t="s">
        <v>143</v>
      </c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9"/>
      <c r="AD20" s="122"/>
      <c r="AE20" s="131"/>
    </row>
    <row r="21" spans="1:31" x14ac:dyDescent="0.2">
      <c r="A21" s="118" t="s">
        <v>9</v>
      </c>
      <c r="B21" s="11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9"/>
      <c r="AD21" s="122"/>
      <c r="AE21" s="131"/>
    </row>
    <row r="22" spans="1:31" x14ac:dyDescent="0.2">
      <c r="A22" s="122" t="s">
        <v>136</v>
      </c>
      <c r="B22" s="132">
        <f>B5/B2</f>
        <v>0.10907666666666667</v>
      </c>
      <c r="C22" s="132">
        <f t="shared" ref="C22:Z22" si="3">C5/C2</f>
        <v>0.10907666666666667</v>
      </c>
      <c r="D22" s="132">
        <f t="shared" si="3"/>
        <v>0.10907666666666667</v>
      </c>
      <c r="E22" s="132">
        <f t="shared" si="3"/>
        <v>0.10907666666666667</v>
      </c>
      <c r="F22" s="132">
        <f t="shared" si="3"/>
        <v>0.10907666666666667</v>
      </c>
      <c r="G22" s="132">
        <f t="shared" si="3"/>
        <v>0.10907666666666667</v>
      </c>
      <c r="H22" s="132">
        <f t="shared" si="3"/>
        <v>0.11353460080889144</v>
      </c>
      <c r="I22" s="132">
        <f t="shared" si="3"/>
        <v>0.11353460080889144</v>
      </c>
      <c r="J22" s="132">
        <f t="shared" si="3"/>
        <v>0.11353460080889144</v>
      </c>
      <c r="K22" s="132">
        <f t="shared" si="3"/>
        <v>0.11353460080889144</v>
      </c>
      <c r="L22" s="132">
        <f t="shared" si="3"/>
        <v>0.11353460080889144</v>
      </c>
      <c r="M22" s="132">
        <f t="shared" si="3"/>
        <v>0.11353460080889144</v>
      </c>
      <c r="N22" s="132">
        <f t="shared" si="3"/>
        <v>0.11353460080889144</v>
      </c>
      <c r="O22" s="132">
        <f t="shared" si="3"/>
        <v>0.11353460080889144</v>
      </c>
      <c r="P22" s="132">
        <f t="shared" si="3"/>
        <v>0.11353460080889144</v>
      </c>
      <c r="Q22" s="132">
        <f t="shared" si="3"/>
        <v>0.11353460080889144</v>
      </c>
      <c r="R22" s="132">
        <f t="shared" si="3"/>
        <v>0.11353460080889144</v>
      </c>
      <c r="S22" s="132">
        <f t="shared" si="3"/>
        <v>0.11353460080889144</v>
      </c>
      <c r="T22" s="132">
        <f t="shared" si="3"/>
        <v>0.11353460080889144</v>
      </c>
      <c r="U22" s="132">
        <f t="shared" si="3"/>
        <v>0.11353460080889144</v>
      </c>
      <c r="V22" s="132">
        <f t="shared" si="3"/>
        <v>0.11353460080889144</v>
      </c>
      <c r="W22" s="132">
        <f t="shared" si="3"/>
        <v>0.11353460080889144</v>
      </c>
      <c r="X22" s="132">
        <f t="shared" si="3"/>
        <v>0.11353460080889144</v>
      </c>
      <c r="Y22" s="132">
        <f t="shared" si="3"/>
        <v>0.11353460080889144</v>
      </c>
      <c r="Z22" s="133">
        <f t="shared" si="3"/>
        <v>0.11245783113129318</v>
      </c>
      <c r="AD22" s="122"/>
      <c r="AE22" s="131"/>
    </row>
    <row r="23" spans="1:31" x14ac:dyDescent="0.2">
      <c r="A23" s="122" t="s">
        <v>49</v>
      </c>
      <c r="B23" s="132">
        <f>B6/B2</f>
        <v>6.1363333333333332E-2</v>
      </c>
      <c r="C23" s="132">
        <f t="shared" ref="C23:Z23" si="4">C6/C2</f>
        <v>6.1366666666666667E-2</v>
      </c>
      <c r="D23" s="132">
        <f t="shared" si="4"/>
        <v>6.1363333333333332E-2</v>
      </c>
      <c r="E23" s="132">
        <f t="shared" si="4"/>
        <v>6.1363333333333332E-2</v>
      </c>
      <c r="F23" s="132">
        <f t="shared" si="4"/>
        <v>6.1366666666666667E-2</v>
      </c>
      <c r="G23" s="132">
        <f t="shared" si="4"/>
        <v>6.1363333333333332E-2</v>
      </c>
      <c r="H23" s="132">
        <f t="shared" si="4"/>
        <v>6.139931849304163E-2</v>
      </c>
      <c r="I23" s="132">
        <f t="shared" si="4"/>
        <v>6.139931849304163E-2</v>
      </c>
      <c r="J23" s="132">
        <f t="shared" si="4"/>
        <v>6.139931849304163E-2</v>
      </c>
      <c r="K23" s="132">
        <f t="shared" si="4"/>
        <v>6.139931849304163E-2</v>
      </c>
      <c r="L23" s="132">
        <f t="shared" si="4"/>
        <v>6.139931849304163E-2</v>
      </c>
      <c r="M23" s="132">
        <f t="shared" si="4"/>
        <v>6.139931849304163E-2</v>
      </c>
      <c r="N23" s="132">
        <f t="shared" si="4"/>
        <v>6.139931849304163E-2</v>
      </c>
      <c r="O23" s="132">
        <f t="shared" si="4"/>
        <v>6.139931849304163E-2</v>
      </c>
      <c r="P23" s="132">
        <f t="shared" si="4"/>
        <v>6.139931849304163E-2</v>
      </c>
      <c r="Q23" s="132">
        <f t="shared" si="4"/>
        <v>6.139931849304163E-2</v>
      </c>
      <c r="R23" s="132">
        <f t="shared" si="4"/>
        <v>6.139931849304163E-2</v>
      </c>
      <c r="S23" s="132">
        <f t="shared" si="4"/>
        <v>6.139931849304163E-2</v>
      </c>
      <c r="T23" s="132">
        <f t="shared" si="4"/>
        <v>6.139931849304163E-2</v>
      </c>
      <c r="U23" s="132">
        <f t="shared" si="4"/>
        <v>6.139931849304163E-2</v>
      </c>
      <c r="V23" s="132">
        <f t="shared" si="4"/>
        <v>6.139931849304163E-2</v>
      </c>
      <c r="W23" s="132">
        <f t="shared" si="4"/>
        <v>6.139931849304163E-2</v>
      </c>
      <c r="X23" s="132">
        <f t="shared" si="4"/>
        <v>6.139931849304163E-2</v>
      </c>
      <c r="Y23" s="132">
        <f t="shared" si="4"/>
        <v>6.139931849304163E-2</v>
      </c>
      <c r="Z23" s="133">
        <f t="shared" si="4"/>
        <v>6.1390895013271315E-2</v>
      </c>
    </row>
    <row r="24" spans="1:31" x14ac:dyDescent="0.2">
      <c r="A24" s="122" t="s">
        <v>48</v>
      </c>
      <c r="B24" s="132">
        <f>B7/B2</f>
        <v>1.435E-2</v>
      </c>
      <c r="C24" s="132">
        <f t="shared" ref="C24:Z24" si="5">C7/C2</f>
        <v>1.4353333333333334E-2</v>
      </c>
      <c r="D24" s="132">
        <f t="shared" si="5"/>
        <v>1.4353333333333334E-2</v>
      </c>
      <c r="E24" s="132">
        <f t="shared" si="5"/>
        <v>1.435E-2</v>
      </c>
      <c r="F24" s="132">
        <f t="shared" si="5"/>
        <v>1.435E-2</v>
      </c>
      <c r="G24" s="132">
        <f t="shared" si="5"/>
        <v>1.435E-2</v>
      </c>
      <c r="H24" s="132">
        <f>H7/H2</f>
        <v>1.4359415305245057E-2</v>
      </c>
      <c r="I24" s="132">
        <f t="shared" si="5"/>
        <v>1.4359415305245057E-2</v>
      </c>
      <c r="J24" s="132">
        <f t="shared" si="5"/>
        <v>1.4359415305245057E-2</v>
      </c>
      <c r="K24" s="132">
        <f t="shared" si="5"/>
        <v>1.4359415305245057E-2</v>
      </c>
      <c r="L24" s="132">
        <f t="shared" si="5"/>
        <v>1.4359415305245057E-2</v>
      </c>
      <c r="M24" s="132">
        <f t="shared" si="5"/>
        <v>1.4359415305245057E-2</v>
      </c>
      <c r="N24" s="132">
        <f t="shared" si="5"/>
        <v>1.4359415305245057E-2</v>
      </c>
      <c r="O24" s="132">
        <f t="shared" si="5"/>
        <v>1.4359415305245057E-2</v>
      </c>
      <c r="P24" s="132">
        <f t="shared" si="5"/>
        <v>1.4359415305245057E-2</v>
      </c>
      <c r="Q24" s="132">
        <f t="shared" si="5"/>
        <v>1.4359415305245057E-2</v>
      </c>
      <c r="R24" s="132">
        <f t="shared" si="5"/>
        <v>1.4359415305245057E-2</v>
      </c>
      <c r="S24" s="132">
        <f>S7/S2</f>
        <v>1.4359415305245057E-2</v>
      </c>
      <c r="T24" s="132">
        <f t="shared" si="5"/>
        <v>1.4359415305245057E-2</v>
      </c>
      <c r="U24" s="132">
        <f t="shared" si="5"/>
        <v>1.4359415305245057E-2</v>
      </c>
      <c r="V24" s="132">
        <f t="shared" si="5"/>
        <v>1.4359415305245057E-2</v>
      </c>
      <c r="W24" s="132">
        <f t="shared" si="5"/>
        <v>1.4359415305245057E-2</v>
      </c>
      <c r="X24" s="132">
        <f t="shared" si="5"/>
        <v>1.4359415305245057E-2</v>
      </c>
      <c r="Y24" s="132">
        <f t="shared" si="5"/>
        <v>1.4359415305245057E-2</v>
      </c>
      <c r="Z24" s="133">
        <f t="shared" si="5"/>
        <v>1.4357409509700526E-2</v>
      </c>
    </row>
    <row r="25" spans="1:31" x14ac:dyDescent="0.2">
      <c r="A25" s="114" t="s">
        <v>58</v>
      </c>
      <c r="B25" s="134">
        <f>B8/B2</f>
        <v>0.18479000000000001</v>
      </c>
      <c r="C25" s="134">
        <f t="shared" ref="C25:Z25" si="6">C8/C2</f>
        <v>0.18479666666666669</v>
      </c>
      <c r="D25" s="134">
        <f t="shared" si="6"/>
        <v>0.18479333333333336</v>
      </c>
      <c r="E25" s="134">
        <f t="shared" si="6"/>
        <v>0.18479000000000001</v>
      </c>
      <c r="F25" s="134">
        <f t="shared" si="6"/>
        <v>0.18479333333333334</v>
      </c>
      <c r="G25" s="134">
        <f t="shared" si="6"/>
        <v>0.18479000000000001</v>
      </c>
      <c r="H25" s="134">
        <f t="shared" si="6"/>
        <v>0.18929333460717812</v>
      </c>
      <c r="I25" s="134">
        <f t="shared" si="6"/>
        <v>0.18929333460717812</v>
      </c>
      <c r="J25" s="134">
        <f t="shared" si="6"/>
        <v>0.18929333460717812</v>
      </c>
      <c r="K25" s="134">
        <f t="shared" si="6"/>
        <v>0.18929333460717812</v>
      </c>
      <c r="L25" s="134">
        <f t="shared" si="6"/>
        <v>0.18929333460717812</v>
      </c>
      <c r="M25" s="134">
        <f t="shared" si="6"/>
        <v>0.18929333460717812</v>
      </c>
      <c r="N25" s="134">
        <f t="shared" si="6"/>
        <v>0.18929333460717812</v>
      </c>
      <c r="O25" s="134">
        <f t="shared" si="6"/>
        <v>0.18929333460717812</v>
      </c>
      <c r="P25" s="134">
        <f t="shared" si="6"/>
        <v>0.18929333460717812</v>
      </c>
      <c r="Q25" s="134">
        <f t="shared" si="6"/>
        <v>0.18929333460717812</v>
      </c>
      <c r="R25" s="134">
        <f t="shared" si="6"/>
        <v>0.18929333460717812</v>
      </c>
      <c r="S25" s="134">
        <f t="shared" si="6"/>
        <v>0.18929333460717812</v>
      </c>
      <c r="T25" s="134">
        <f t="shared" si="6"/>
        <v>0.18929333460717812</v>
      </c>
      <c r="U25" s="134">
        <f t="shared" si="6"/>
        <v>0.18929333460717812</v>
      </c>
      <c r="V25" s="134">
        <f t="shared" si="6"/>
        <v>0.18929333460717812</v>
      </c>
      <c r="W25" s="134">
        <f t="shared" si="6"/>
        <v>0.18929333460717812</v>
      </c>
      <c r="X25" s="134">
        <f t="shared" si="6"/>
        <v>0.18929333460717812</v>
      </c>
      <c r="Y25" s="134">
        <f t="shared" si="6"/>
        <v>0.18929333460717812</v>
      </c>
      <c r="Z25" s="135">
        <f t="shared" si="6"/>
        <v>0.18820613565426489</v>
      </c>
    </row>
    <row r="26" spans="1:31" x14ac:dyDescent="0.2">
      <c r="A26" s="118"/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3"/>
    </row>
    <row r="27" spans="1:31" x14ac:dyDescent="0.2">
      <c r="A27" s="118" t="s">
        <v>137</v>
      </c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3"/>
    </row>
    <row r="28" spans="1:31" x14ac:dyDescent="0.2">
      <c r="A28" s="122" t="s">
        <v>138</v>
      </c>
      <c r="B28" s="132">
        <f>B11/B2</f>
        <v>1.6566666666666665E-3</v>
      </c>
      <c r="C28" s="132">
        <f t="shared" ref="C28:Z28" si="7">C11/C2</f>
        <v>1.6566666666666665E-3</v>
      </c>
      <c r="D28" s="132">
        <f t="shared" si="7"/>
        <v>1.6566666666666665E-3</v>
      </c>
      <c r="E28" s="132">
        <f t="shared" si="7"/>
        <v>1.6566666666666665E-3</v>
      </c>
      <c r="F28" s="132">
        <f t="shared" si="7"/>
        <v>1.6566666666666665E-3</v>
      </c>
      <c r="G28" s="132">
        <f t="shared" si="7"/>
        <v>1.6566666666666665E-3</v>
      </c>
      <c r="H28" s="132">
        <f t="shared" si="7"/>
        <v>1.5827521416515397E-3</v>
      </c>
      <c r="I28" s="132">
        <f t="shared" si="7"/>
        <v>1.5827521416515397E-3</v>
      </c>
      <c r="J28" s="132">
        <f t="shared" si="7"/>
        <v>1.5827521416515397E-3</v>
      </c>
      <c r="K28" s="132">
        <f t="shared" si="7"/>
        <v>1.5827521416515397E-3</v>
      </c>
      <c r="L28" s="132">
        <f t="shared" si="7"/>
        <v>1.5827521416515397E-3</v>
      </c>
      <c r="M28" s="132">
        <f t="shared" si="7"/>
        <v>1.5827521416515397E-3</v>
      </c>
      <c r="N28" s="132">
        <f t="shared" si="7"/>
        <v>1.5827521416515397E-3</v>
      </c>
      <c r="O28" s="132">
        <f t="shared" si="7"/>
        <v>1.5827521416515397E-3</v>
      </c>
      <c r="P28" s="132">
        <f t="shared" si="7"/>
        <v>1.5827521416515397E-3</v>
      </c>
      <c r="Q28" s="132">
        <f t="shared" si="7"/>
        <v>1.5827521416515397E-3</v>
      </c>
      <c r="R28" s="132">
        <f t="shared" si="7"/>
        <v>1.5827521416515397E-3</v>
      </c>
      <c r="S28" s="132">
        <f t="shared" si="7"/>
        <v>1.5827521416515397E-3</v>
      </c>
      <c r="T28" s="132">
        <f t="shared" si="7"/>
        <v>1.5827521416515397E-3</v>
      </c>
      <c r="U28" s="132">
        <f t="shared" si="7"/>
        <v>1.5827521416515397E-3</v>
      </c>
      <c r="V28" s="132">
        <f t="shared" si="7"/>
        <v>1.5827521416515397E-3</v>
      </c>
      <c r="W28" s="132">
        <f t="shared" si="7"/>
        <v>1.5827521416515397E-3</v>
      </c>
      <c r="X28" s="132">
        <f t="shared" si="7"/>
        <v>1.5827521416515397E-3</v>
      </c>
      <c r="Y28" s="132">
        <f t="shared" si="7"/>
        <v>1.5827521416515397E-3</v>
      </c>
      <c r="Z28" s="133">
        <f t="shared" si="7"/>
        <v>1.6006054604156101E-3</v>
      </c>
    </row>
    <row r="29" spans="1:31" x14ac:dyDescent="0.2">
      <c r="A29" s="122" t="s">
        <v>139</v>
      </c>
      <c r="B29" s="132">
        <f>B12/B2</f>
        <v>8.0166666666666667E-3</v>
      </c>
      <c r="C29" s="132">
        <f t="shared" ref="C29:Z29" si="8">C12/C2</f>
        <v>8.0166666666666667E-3</v>
      </c>
      <c r="D29" s="132">
        <f t="shared" si="8"/>
        <v>8.0166666666666667E-3</v>
      </c>
      <c r="E29" s="132">
        <f t="shared" si="8"/>
        <v>8.0166666666666667E-3</v>
      </c>
      <c r="F29" s="132">
        <f t="shared" si="8"/>
        <v>8.0166666666666667E-3</v>
      </c>
      <c r="G29" s="132">
        <f t="shared" si="8"/>
        <v>8.0166666666666667E-3</v>
      </c>
      <c r="H29" s="132">
        <f t="shared" si="8"/>
        <v>7.658991751855037E-3</v>
      </c>
      <c r="I29" s="132">
        <f t="shared" si="8"/>
        <v>7.658991751855037E-3</v>
      </c>
      <c r="J29" s="132">
        <f t="shared" si="8"/>
        <v>7.658991751855037E-3</v>
      </c>
      <c r="K29" s="132">
        <f t="shared" si="8"/>
        <v>7.658991751855037E-3</v>
      </c>
      <c r="L29" s="132">
        <f t="shared" si="8"/>
        <v>7.658991751855037E-3</v>
      </c>
      <c r="M29" s="132">
        <f t="shared" si="8"/>
        <v>7.658991751855037E-3</v>
      </c>
      <c r="N29" s="132">
        <f t="shared" si="8"/>
        <v>7.658991751855037E-3</v>
      </c>
      <c r="O29" s="132">
        <f t="shared" si="8"/>
        <v>7.658991751855037E-3</v>
      </c>
      <c r="P29" s="132">
        <f t="shared" si="8"/>
        <v>7.658991751855037E-3</v>
      </c>
      <c r="Q29" s="132">
        <f t="shared" si="8"/>
        <v>7.658991751855037E-3</v>
      </c>
      <c r="R29" s="132">
        <f t="shared" si="8"/>
        <v>7.658991751855037E-3</v>
      </c>
      <c r="S29" s="132">
        <f t="shared" si="8"/>
        <v>7.658991751855037E-3</v>
      </c>
      <c r="T29" s="132">
        <f t="shared" si="8"/>
        <v>7.658991751855037E-3</v>
      </c>
      <c r="U29" s="132">
        <f t="shared" si="8"/>
        <v>7.658991751855037E-3</v>
      </c>
      <c r="V29" s="132">
        <f t="shared" si="8"/>
        <v>7.658991751855037E-3</v>
      </c>
      <c r="W29" s="132">
        <f t="shared" si="8"/>
        <v>7.658991751855037E-3</v>
      </c>
      <c r="X29" s="132">
        <f t="shared" si="8"/>
        <v>7.658991751855037E-3</v>
      </c>
      <c r="Y29" s="132">
        <f t="shared" si="8"/>
        <v>7.658991751855037E-3</v>
      </c>
      <c r="Z29" s="133">
        <f t="shared" si="8"/>
        <v>7.7453845720312732E-3</v>
      </c>
    </row>
    <row r="30" spans="1:31" x14ac:dyDescent="0.2">
      <c r="A30" s="122" t="s">
        <v>140</v>
      </c>
      <c r="B30" s="132">
        <f>B13/B2</f>
        <v>1.83E-3</v>
      </c>
      <c r="C30" s="132">
        <f t="shared" ref="C30:Z30" si="9">C13/C2</f>
        <v>1.83E-3</v>
      </c>
      <c r="D30" s="132">
        <f t="shared" si="9"/>
        <v>1.83E-3</v>
      </c>
      <c r="E30" s="132">
        <f t="shared" si="9"/>
        <v>1.83E-3</v>
      </c>
      <c r="F30" s="132">
        <f t="shared" si="9"/>
        <v>1.83E-3</v>
      </c>
      <c r="G30" s="132">
        <f t="shared" si="9"/>
        <v>1.83E-3</v>
      </c>
      <c r="H30" s="132">
        <f t="shared" si="9"/>
        <v>1.7483519633132705E-3</v>
      </c>
      <c r="I30" s="132">
        <f t="shared" si="9"/>
        <v>1.7483519633132705E-3</v>
      </c>
      <c r="J30" s="132">
        <f t="shared" si="9"/>
        <v>1.7483519633132705E-3</v>
      </c>
      <c r="K30" s="132">
        <f t="shared" si="9"/>
        <v>1.7483519633132705E-3</v>
      </c>
      <c r="L30" s="132">
        <f t="shared" si="9"/>
        <v>1.7483519633132705E-3</v>
      </c>
      <c r="M30" s="132">
        <f t="shared" si="9"/>
        <v>1.7483519633132705E-3</v>
      </c>
      <c r="N30" s="132">
        <f t="shared" si="9"/>
        <v>1.7483519633132705E-3</v>
      </c>
      <c r="O30" s="132">
        <f t="shared" si="9"/>
        <v>1.7483519633132705E-3</v>
      </c>
      <c r="P30" s="132">
        <f t="shared" si="9"/>
        <v>1.7483519633132705E-3</v>
      </c>
      <c r="Q30" s="132">
        <f t="shared" si="9"/>
        <v>1.7483519633132705E-3</v>
      </c>
      <c r="R30" s="132">
        <f t="shared" si="9"/>
        <v>1.7483519633132705E-3</v>
      </c>
      <c r="S30" s="132">
        <f t="shared" si="9"/>
        <v>1.7483519633132705E-3</v>
      </c>
      <c r="T30" s="132">
        <f t="shared" si="9"/>
        <v>1.7483519633132705E-3</v>
      </c>
      <c r="U30" s="132">
        <f t="shared" si="9"/>
        <v>1.7483519633132705E-3</v>
      </c>
      <c r="V30" s="132">
        <f t="shared" si="9"/>
        <v>1.7483519633132705E-3</v>
      </c>
      <c r="W30" s="132">
        <f t="shared" si="9"/>
        <v>1.7483519633132705E-3</v>
      </c>
      <c r="X30" s="132">
        <f t="shared" si="9"/>
        <v>1.7483519633132705E-3</v>
      </c>
      <c r="Y30" s="132">
        <f t="shared" si="9"/>
        <v>1.7483519633132705E-3</v>
      </c>
      <c r="Z30" s="133">
        <f t="shared" si="9"/>
        <v>1.7680732349460155E-3</v>
      </c>
    </row>
    <row r="31" spans="1:31" x14ac:dyDescent="0.2">
      <c r="A31" s="114" t="s">
        <v>58</v>
      </c>
      <c r="B31" s="134">
        <f>B14/B2</f>
        <v>1.1503333333333332E-2</v>
      </c>
      <c r="C31" s="134">
        <f t="shared" ref="C31:Z31" si="10">C14/C2</f>
        <v>1.1503333333333332E-2</v>
      </c>
      <c r="D31" s="134">
        <f t="shared" si="10"/>
        <v>1.1503333333333332E-2</v>
      </c>
      <c r="E31" s="134">
        <f t="shared" si="10"/>
        <v>1.1503333333333332E-2</v>
      </c>
      <c r="F31" s="134">
        <f t="shared" si="10"/>
        <v>1.1503333333333332E-2</v>
      </c>
      <c r="G31" s="134">
        <f t="shared" si="10"/>
        <v>1.1503333333333332E-2</v>
      </c>
      <c r="H31" s="134">
        <f t="shared" si="10"/>
        <v>1.0990095856819846E-2</v>
      </c>
      <c r="I31" s="134">
        <f t="shared" si="10"/>
        <v>1.0990095856819846E-2</v>
      </c>
      <c r="J31" s="134">
        <f t="shared" si="10"/>
        <v>1.0990095856819846E-2</v>
      </c>
      <c r="K31" s="134">
        <f t="shared" si="10"/>
        <v>1.0990095856819846E-2</v>
      </c>
      <c r="L31" s="134">
        <f t="shared" si="10"/>
        <v>1.0990095856819846E-2</v>
      </c>
      <c r="M31" s="134">
        <f t="shared" si="10"/>
        <v>1.0990095856819846E-2</v>
      </c>
      <c r="N31" s="134">
        <f t="shared" si="10"/>
        <v>1.0990095856819846E-2</v>
      </c>
      <c r="O31" s="134">
        <f t="shared" si="10"/>
        <v>1.0990095856819846E-2</v>
      </c>
      <c r="P31" s="134">
        <f t="shared" si="10"/>
        <v>1.0990095856819846E-2</v>
      </c>
      <c r="Q31" s="134">
        <f t="shared" si="10"/>
        <v>1.0990095856819846E-2</v>
      </c>
      <c r="R31" s="134">
        <f t="shared" si="10"/>
        <v>1.0990095856819846E-2</v>
      </c>
      <c r="S31" s="134">
        <f t="shared" si="10"/>
        <v>1.0990095856819846E-2</v>
      </c>
      <c r="T31" s="134">
        <f t="shared" si="10"/>
        <v>1.0990095856819846E-2</v>
      </c>
      <c r="U31" s="134">
        <f t="shared" si="10"/>
        <v>1.0990095856819846E-2</v>
      </c>
      <c r="V31" s="134">
        <f t="shared" si="10"/>
        <v>1.0990095856819846E-2</v>
      </c>
      <c r="W31" s="134">
        <f t="shared" si="10"/>
        <v>1.0990095856819846E-2</v>
      </c>
      <c r="X31" s="134">
        <f t="shared" si="10"/>
        <v>1.0990095856819846E-2</v>
      </c>
      <c r="Y31" s="134">
        <f t="shared" si="10"/>
        <v>1.0990095856819846E-2</v>
      </c>
      <c r="Z31" s="135">
        <f t="shared" si="10"/>
        <v>1.1114063267392898E-2</v>
      </c>
    </row>
    <row r="32" spans="1:31" x14ac:dyDescent="0.2">
      <c r="A32" s="118"/>
      <c r="B32" s="132"/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3"/>
    </row>
    <row r="33" spans="1:26" x14ac:dyDescent="0.2">
      <c r="A33" s="125" t="s">
        <v>141</v>
      </c>
      <c r="B33" s="134">
        <f>B16/B2</f>
        <v>0.05</v>
      </c>
      <c r="C33" s="134">
        <f t="shared" ref="C33:Z33" si="11">C16/C2</f>
        <v>0.05</v>
      </c>
      <c r="D33" s="134">
        <f t="shared" si="11"/>
        <v>0.05</v>
      </c>
      <c r="E33" s="134">
        <f t="shared" si="11"/>
        <v>0.05</v>
      </c>
      <c r="F33" s="134">
        <f t="shared" si="11"/>
        <v>0.05</v>
      </c>
      <c r="G33" s="134">
        <f t="shared" si="11"/>
        <v>0.05</v>
      </c>
      <c r="H33" s="134">
        <f t="shared" si="11"/>
        <v>5.0001592305977519E-2</v>
      </c>
      <c r="I33" s="134">
        <f t="shared" si="11"/>
        <v>5.0001592305977519E-2</v>
      </c>
      <c r="J33" s="134">
        <f t="shared" si="11"/>
        <v>5.0001592305977519E-2</v>
      </c>
      <c r="K33" s="134">
        <f t="shared" si="11"/>
        <v>5.0001592305977519E-2</v>
      </c>
      <c r="L33" s="134">
        <f t="shared" si="11"/>
        <v>5.0001592305977519E-2</v>
      </c>
      <c r="M33" s="134">
        <f t="shared" si="11"/>
        <v>5.0001592305977519E-2</v>
      </c>
      <c r="N33" s="134">
        <f t="shared" si="11"/>
        <v>5.0001592305977519E-2</v>
      </c>
      <c r="O33" s="134">
        <f t="shared" si="11"/>
        <v>5.0001592305977519E-2</v>
      </c>
      <c r="P33" s="134">
        <f t="shared" si="11"/>
        <v>5.0001592305977519E-2</v>
      </c>
      <c r="Q33" s="134">
        <f t="shared" si="11"/>
        <v>5.0001592305977519E-2</v>
      </c>
      <c r="R33" s="134">
        <f t="shared" si="11"/>
        <v>5.0001592305977519E-2</v>
      </c>
      <c r="S33" s="134">
        <f t="shared" si="11"/>
        <v>5.0001592305977519E-2</v>
      </c>
      <c r="T33" s="134">
        <f t="shared" si="11"/>
        <v>5.0001592305977519E-2</v>
      </c>
      <c r="U33" s="134">
        <f t="shared" si="11"/>
        <v>5.0001592305977519E-2</v>
      </c>
      <c r="V33" s="134">
        <f t="shared" si="11"/>
        <v>5.0001592305977519E-2</v>
      </c>
      <c r="W33" s="134">
        <f t="shared" si="11"/>
        <v>5.0001592305977519E-2</v>
      </c>
      <c r="X33" s="134">
        <f t="shared" si="11"/>
        <v>5.0001592305977519E-2</v>
      </c>
      <c r="Y33" s="134">
        <f t="shared" si="11"/>
        <v>5.0001592305977519E-2</v>
      </c>
      <c r="Z33" s="135">
        <f t="shared" si="11"/>
        <v>5.0001207700297132E-2</v>
      </c>
    </row>
    <row r="34" spans="1:26" x14ac:dyDescent="0.2">
      <c r="B34" s="132"/>
      <c r="C34" s="132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3"/>
    </row>
    <row r="35" spans="1:26" ht="13.5" thickBot="1" x14ac:dyDescent="0.25">
      <c r="A35" s="128" t="s">
        <v>142</v>
      </c>
      <c r="B35" s="137">
        <f>B18/B2</f>
        <v>0.75370666666666664</v>
      </c>
      <c r="C35" s="137">
        <f t="shared" ref="C35:Y35" si="12">C18/C2</f>
        <v>0.75369999999999981</v>
      </c>
      <c r="D35" s="137">
        <f t="shared" si="12"/>
        <v>0.75370333333333317</v>
      </c>
      <c r="E35" s="137">
        <f t="shared" si="12"/>
        <v>0.75370666666666664</v>
      </c>
      <c r="F35" s="137">
        <f t="shared" si="12"/>
        <v>0.75370333333333317</v>
      </c>
      <c r="G35" s="137">
        <f t="shared" si="12"/>
        <v>0.75370666666666664</v>
      </c>
      <c r="H35" s="137">
        <f>H18/H2</f>
        <v>0.74971497723002434</v>
      </c>
      <c r="I35" s="137">
        <f t="shared" si="12"/>
        <v>0.74971497723002434</v>
      </c>
      <c r="J35" s="137">
        <f t="shared" si="12"/>
        <v>0.74971497723002434</v>
      </c>
      <c r="K35" s="137">
        <f t="shared" si="12"/>
        <v>0.74971497723002434</v>
      </c>
      <c r="L35" s="137">
        <f t="shared" si="12"/>
        <v>0.74971497723002434</v>
      </c>
      <c r="M35" s="137">
        <f t="shared" si="12"/>
        <v>0.74971497723002434</v>
      </c>
      <c r="N35" s="137">
        <f t="shared" si="12"/>
        <v>0.74971497723002434</v>
      </c>
      <c r="O35" s="137">
        <f t="shared" si="12"/>
        <v>0.74971497723002434</v>
      </c>
      <c r="P35" s="137">
        <f t="shared" si="12"/>
        <v>0.74971497723002434</v>
      </c>
      <c r="Q35" s="137">
        <f t="shared" si="12"/>
        <v>0.74971497723002434</v>
      </c>
      <c r="R35" s="137">
        <f t="shared" si="12"/>
        <v>0.74971497723002434</v>
      </c>
      <c r="S35" s="137">
        <f t="shared" si="12"/>
        <v>0.74971497723002434</v>
      </c>
      <c r="T35" s="137">
        <f t="shared" si="12"/>
        <v>0.74971497723002434</v>
      </c>
      <c r="U35" s="137">
        <f t="shared" si="12"/>
        <v>0.74971497723002434</v>
      </c>
      <c r="V35" s="137">
        <f t="shared" si="12"/>
        <v>0.74971497723002434</v>
      </c>
      <c r="W35" s="137">
        <f t="shared" si="12"/>
        <v>0.74971497723002434</v>
      </c>
      <c r="X35" s="137">
        <f t="shared" si="12"/>
        <v>0.74971497723002434</v>
      </c>
      <c r="Y35" s="137">
        <f t="shared" si="12"/>
        <v>0.74971497723002434</v>
      </c>
      <c r="Z35" s="138">
        <f>Z18/Z2</f>
        <v>0.75067859337804521</v>
      </c>
    </row>
    <row r="36" spans="1:26" ht="13.5" thickTop="1" x14ac:dyDescent="0.2">
      <c r="H36" s="117"/>
      <c r="I36" s="113"/>
      <c r="J36" s="113"/>
      <c r="K36" s="117"/>
      <c r="L36" s="117"/>
      <c r="U36" s="117"/>
      <c r="V36" s="113"/>
    </row>
    <row r="37" spans="1:26" x14ac:dyDescent="0.2">
      <c r="G37" s="117"/>
      <c r="H37" s="117"/>
      <c r="I37" s="113"/>
      <c r="J37" s="113"/>
      <c r="K37" s="117"/>
      <c r="L37" s="117"/>
      <c r="U37" s="117"/>
      <c r="V37" s="113"/>
    </row>
    <row r="38" spans="1:26" x14ac:dyDescent="0.2">
      <c r="G38" s="117"/>
      <c r="H38" s="117"/>
      <c r="I38" s="113"/>
      <c r="J38" s="113"/>
      <c r="K38" s="117"/>
      <c r="L38" s="117"/>
      <c r="U38" s="117"/>
      <c r="V38" s="113"/>
    </row>
    <row r="39" spans="1:26" x14ac:dyDescent="0.2">
      <c r="I39" s="113"/>
      <c r="K39" s="117"/>
      <c r="L39" s="117"/>
      <c r="U39" s="117"/>
      <c r="V39" s="113"/>
    </row>
    <row r="40" spans="1:26" x14ac:dyDescent="0.2">
      <c r="H40" s="117"/>
      <c r="I40" s="113"/>
      <c r="K40" s="117"/>
      <c r="L40" s="117"/>
      <c r="U40" s="117"/>
      <c r="V40" s="113"/>
    </row>
    <row r="41" spans="1:26" x14ac:dyDescent="0.2">
      <c r="K41" s="117"/>
      <c r="L41" s="117"/>
      <c r="U41" s="117"/>
      <c r="V41" s="113"/>
    </row>
    <row r="42" spans="1:26" x14ac:dyDescent="0.2">
      <c r="L42" s="117"/>
      <c r="U42" s="117"/>
      <c r="V42" s="113"/>
    </row>
    <row r="43" spans="1:26" x14ac:dyDescent="0.2">
      <c r="G43" s="139"/>
      <c r="U43" s="117"/>
      <c r="V43" s="113"/>
    </row>
    <row r="44" spans="1:26" x14ac:dyDescent="0.2">
      <c r="H44" s="139"/>
      <c r="I44" s="139"/>
      <c r="J44" s="139"/>
      <c r="K44" s="139"/>
      <c r="V44" s="113"/>
    </row>
    <row r="45" spans="1:26" x14ac:dyDescent="0.2">
      <c r="V45" s="113"/>
    </row>
    <row r="46" spans="1:26" x14ac:dyDescent="0.2">
      <c r="V46" s="113"/>
    </row>
    <row r="47" spans="1:26" x14ac:dyDescent="0.2">
      <c r="V47" s="113"/>
    </row>
    <row r="48" spans="1:26" x14ac:dyDescent="0.2">
      <c r="V48" s="113"/>
    </row>
    <row r="49" spans="22:22" x14ac:dyDescent="0.2">
      <c r="V49" s="113"/>
    </row>
    <row r="50" spans="22:22" x14ac:dyDescent="0.2">
      <c r="V50" s="113"/>
    </row>
    <row r="51" spans="22:22" x14ac:dyDescent="0.2">
      <c r="V51" s="113"/>
    </row>
    <row r="52" spans="22:22" x14ac:dyDescent="0.2">
      <c r="V52" s="113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BC04D-2A77-47C1-8CD8-EEE33092D498}">
  <dimension ref="A1:AG52"/>
  <sheetViews>
    <sheetView zoomScale="90" zoomScaleNormal="90" workbookViewId="0">
      <selection activeCell="C12" sqref="C12"/>
    </sheetView>
  </sheetViews>
  <sheetFormatPr defaultRowHeight="12.75" x14ac:dyDescent="0.2"/>
  <cols>
    <col min="1" max="1" width="13.42578125" style="108" bestFit="1" customWidth="1"/>
    <col min="2" max="17" width="10" style="108" bestFit="1" customWidth="1"/>
    <col min="18" max="19" width="11.7109375" style="108" bestFit="1" customWidth="1"/>
    <col min="20" max="21" width="10" style="108" bestFit="1" customWidth="1"/>
    <col min="22" max="23" width="11.28515625" style="108" bestFit="1" customWidth="1"/>
    <col min="24" max="26" width="11" style="108" bestFit="1" customWidth="1"/>
    <col min="27" max="27" width="9.140625" style="108"/>
    <col min="28" max="28" width="11" style="108" bestFit="1" customWidth="1"/>
    <col min="29" max="29" width="9.140625" style="108"/>
    <col min="30" max="30" width="13.42578125" style="108" bestFit="1" customWidth="1"/>
    <col min="31" max="33" width="12" style="108" bestFit="1" customWidth="1"/>
    <col min="34" max="16384" width="9.140625" style="108"/>
  </cols>
  <sheetData>
    <row r="1" spans="1:33" ht="13.5" thickBot="1" x14ac:dyDescent="0.25">
      <c r="B1" s="109" t="s">
        <v>111</v>
      </c>
      <c r="C1" s="109" t="s">
        <v>112</v>
      </c>
      <c r="D1" s="110" t="s">
        <v>113</v>
      </c>
      <c r="E1" s="110" t="s">
        <v>114</v>
      </c>
      <c r="F1" s="111" t="s">
        <v>115</v>
      </c>
      <c r="G1" s="111" t="s">
        <v>116</v>
      </c>
      <c r="H1" s="111" t="s">
        <v>117</v>
      </c>
      <c r="I1" s="111" t="s">
        <v>118</v>
      </c>
      <c r="J1" s="111" t="s">
        <v>119</v>
      </c>
      <c r="K1" s="111" t="s">
        <v>120</v>
      </c>
      <c r="L1" s="111" t="s">
        <v>121</v>
      </c>
      <c r="M1" s="111" t="s">
        <v>122</v>
      </c>
      <c r="N1" s="111" t="s">
        <v>123</v>
      </c>
      <c r="O1" s="111" t="s">
        <v>124</v>
      </c>
      <c r="P1" s="111" t="s">
        <v>125</v>
      </c>
      <c r="Q1" s="111" t="s">
        <v>126</v>
      </c>
      <c r="R1" s="111" t="s">
        <v>127</v>
      </c>
      <c r="S1" s="111" t="s">
        <v>128</v>
      </c>
      <c r="T1" s="111" t="s">
        <v>129</v>
      </c>
      <c r="U1" s="111" t="s">
        <v>130</v>
      </c>
      <c r="V1" s="111" t="s">
        <v>131</v>
      </c>
      <c r="W1" s="111" t="s">
        <v>132</v>
      </c>
      <c r="X1" s="111" t="s">
        <v>133</v>
      </c>
      <c r="Y1" s="111" t="s">
        <v>134</v>
      </c>
      <c r="Z1" s="112" t="s">
        <v>58</v>
      </c>
      <c r="AE1" s="108">
        <v>72000</v>
      </c>
      <c r="AF1" s="113"/>
    </row>
    <row r="2" spans="1:33" x14ac:dyDescent="0.2">
      <c r="A2" s="114" t="s">
        <v>135</v>
      </c>
      <c r="B2" s="115">
        <v>2500</v>
      </c>
      <c r="C2" s="115">
        <v>2500</v>
      </c>
      <c r="D2" s="115">
        <v>2500</v>
      </c>
      <c r="E2" s="115">
        <v>2500</v>
      </c>
      <c r="F2" s="115">
        <v>2500</v>
      </c>
      <c r="G2" s="115">
        <v>2500</v>
      </c>
      <c r="H2" s="115">
        <v>2500</v>
      </c>
      <c r="I2" s="115">
        <v>2500</v>
      </c>
      <c r="J2" s="115">
        <v>2500</v>
      </c>
      <c r="K2" s="115">
        <v>2500</v>
      </c>
      <c r="L2" s="115">
        <v>2500</v>
      </c>
      <c r="M2" s="115">
        <v>2500</v>
      </c>
      <c r="N2" s="115">
        <v>2500</v>
      </c>
      <c r="O2" s="115">
        <v>2500</v>
      </c>
      <c r="P2" s="115">
        <v>2500</v>
      </c>
      <c r="Q2" s="115">
        <v>2500</v>
      </c>
      <c r="R2" s="115">
        <v>2500</v>
      </c>
      <c r="S2" s="115">
        <v>2500</v>
      </c>
      <c r="T2" s="115">
        <v>2500</v>
      </c>
      <c r="U2" s="115">
        <v>2500</v>
      </c>
      <c r="V2" s="115">
        <v>2500</v>
      </c>
      <c r="W2" s="115">
        <v>2500</v>
      </c>
      <c r="X2" s="115">
        <v>2500</v>
      </c>
      <c r="Y2" s="115">
        <v>2500</v>
      </c>
      <c r="Z2" s="116">
        <f>SUM(B2:Y2)</f>
        <v>60000</v>
      </c>
      <c r="AB2" s="117">
        <v>12550</v>
      </c>
      <c r="AF2" s="113"/>
    </row>
    <row r="3" spans="1:33" x14ac:dyDescent="0.2">
      <c r="A3" s="118"/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9"/>
      <c r="AB3" s="113">
        <f>Z16</f>
        <v>3726.1800000000021</v>
      </c>
      <c r="AD3" s="120">
        <v>0.1</v>
      </c>
      <c r="AE3" s="121">
        <v>9875</v>
      </c>
      <c r="AF3" s="113">
        <v>9875</v>
      </c>
      <c r="AG3" s="117">
        <f>AD3*AF3</f>
        <v>987.5</v>
      </c>
    </row>
    <row r="4" spans="1:33" x14ac:dyDescent="0.2">
      <c r="A4" s="118" t="s">
        <v>9</v>
      </c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9"/>
      <c r="AB4" s="113">
        <f>Z2-AB2-AB3</f>
        <v>43723.82</v>
      </c>
      <c r="AD4" s="120">
        <v>0.12</v>
      </c>
      <c r="AE4" s="121">
        <v>9875</v>
      </c>
      <c r="AF4" s="113">
        <f>AE5-AE4</f>
        <v>30250</v>
      </c>
      <c r="AG4" s="117">
        <f>AD4*AF4</f>
        <v>3630</v>
      </c>
    </row>
    <row r="5" spans="1:33" x14ac:dyDescent="0.2">
      <c r="A5" s="122" t="s">
        <v>136</v>
      </c>
      <c r="B5" s="117">
        <v>327.23</v>
      </c>
      <c r="C5" s="117">
        <v>327.23</v>
      </c>
      <c r="D5" s="117">
        <v>327.23</v>
      </c>
      <c r="E5" s="117">
        <v>327.23</v>
      </c>
      <c r="F5" s="117">
        <v>327.23</v>
      </c>
      <c r="G5" s="117">
        <v>327.23</v>
      </c>
      <c r="H5" s="117">
        <v>356.51</v>
      </c>
      <c r="I5" s="117">
        <v>356.51</v>
      </c>
      <c r="J5" s="117">
        <v>356.51</v>
      </c>
      <c r="K5" s="117">
        <v>356.51</v>
      </c>
      <c r="L5" s="117">
        <v>356.51</v>
      </c>
      <c r="M5" s="117">
        <v>356.51</v>
      </c>
      <c r="N5" s="117">
        <v>356.51</v>
      </c>
      <c r="O5" s="117">
        <v>356.51</v>
      </c>
      <c r="P5" s="117">
        <v>356.51</v>
      </c>
      <c r="Q5" s="117">
        <v>356.51</v>
      </c>
      <c r="R5" s="117">
        <v>356.51</v>
      </c>
      <c r="S5" s="117">
        <v>356.51</v>
      </c>
      <c r="T5" s="117">
        <v>356.51</v>
      </c>
      <c r="U5" s="117">
        <v>356.51</v>
      </c>
      <c r="V5" s="117">
        <v>356.51</v>
      </c>
      <c r="W5" s="117">
        <v>356.51</v>
      </c>
      <c r="X5" s="117">
        <v>356.51</v>
      </c>
      <c r="Y5" s="117">
        <v>356.51</v>
      </c>
      <c r="Z5" s="119">
        <f>SUM(B5:Y5)</f>
        <v>8380.5600000000031</v>
      </c>
      <c r="AB5" s="120"/>
      <c r="AD5" s="120">
        <v>0.22</v>
      </c>
      <c r="AE5" s="121">
        <v>40125</v>
      </c>
      <c r="AF5" s="113">
        <f>AB4-AE5</f>
        <v>3598.8199999999997</v>
      </c>
      <c r="AG5" s="117">
        <f>AD5*AF5</f>
        <v>791.74039999999991</v>
      </c>
    </row>
    <row r="6" spans="1:33" x14ac:dyDescent="0.2">
      <c r="A6" s="122" t="s">
        <v>49</v>
      </c>
      <c r="B6" s="117">
        <v>184.09</v>
      </c>
      <c r="C6" s="117">
        <v>184.1</v>
      </c>
      <c r="D6" s="117">
        <v>184.09</v>
      </c>
      <c r="E6" s="117">
        <v>184.09</v>
      </c>
      <c r="F6" s="117">
        <v>184.1</v>
      </c>
      <c r="G6" s="117">
        <v>184.09</v>
      </c>
      <c r="H6" s="117">
        <v>192.8</v>
      </c>
      <c r="I6" s="117">
        <v>192.8</v>
      </c>
      <c r="J6" s="117">
        <v>192.8</v>
      </c>
      <c r="K6" s="117">
        <v>192.8</v>
      </c>
      <c r="L6" s="117">
        <v>192.8</v>
      </c>
      <c r="M6" s="117">
        <v>192.8</v>
      </c>
      <c r="N6" s="117">
        <v>192.8</v>
      </c>
      <c r="O6" s="117">
        <v>192.8</v>
      </c>
      <c r="P6" s="117">
        <v>192.8</v>
      </c>
      <c r="Q6" s="117">
        <v>192.8</v>
      </c>
      <c r="R6" s="117">
        <v>192.8</v>
      </c>
      <c r="S6" s="117">
        <v>192.8</v>
      </c>
      <c r="T6" s="117">
        <v>192.8</v>
      </c>
      <c r="U6" s="117">
        <v>192.8</v>
      </c>
      <c r="V6" s="117">
        <v>192.8</v>
      </c>
      <c r="W6" s="117">
        <v>192.8</v>
      </c>
      <c r="X6" s="117">
        <v>192.8</v>
      </c>
      <c r="Y6" s="117">
        <v>192.8</v>
      </c>
      <c r="Z6" s="119">
        <f>SUM(B6:Y6)</f>
        <v>4574.9600000000019</v>
      </c>
      <c r="AB6" s="121"/>
      <c r="AD6" s="120"/>
      <c r="AE6" s="121"/>
      <c r="AF6" s="113"/>
      <c r="AG6" s="117">
        <f>SUM(AG3:AG5)</f>
        <v>5409.2403999999997</v>
      </c>
    </row>
    <row r="7" spans="1:33" x14ac:dyDescent="0.2">
      <c r="A7" s="122" t="s">
        <v>48</v>
      </c>
      <c r="B7" s="117">
        <v>43.05</v>
      </c>
      <c r="C7" s="117">
        <v>43.06</v>
      </c>
      <c r="D7" s="117">
        <v>43.06</v>
      </c>
      <c r="E7" s="117">
        <v>43.05</v>
      </c>
      <c r="F7" s="117">
        <v>43.05</v>
      </c>
      <c r="G7" s="117">
        <v>43.05</v>
      </c>
      <c r="H7" s="117">
        <v>45.09</v>
      </c>
      <c r="I7" s="117">
        <v>45.09</v>
      </c>
      <c r="J7" s="117">
        <v>45.09</v>
      </c>
      <c r="K7" s="117">
        <v>45.09</v>
      </c>
      <c r="L7" s="117">
        <v>45.09</v>
      </c>
      <c r="M7" s="117">
        <v>45.09</v>
      </c>
      <c r="N7" s="117">
        <v>45.09</v>
      </c>
      <c r="O7" s="117">
        <v>45.09</v>
      </c>
      <c r="P7" s="117">
        <v>45.09</v>
      </c>
      <c r="Q7" s="117">
        <v>45.09</v>
      </c>
      <c r="R7" s="117">
        <v>45.09</v>
      </c>
      <c r="S7" s="117">
        <v>45.09</v>
      </c>
      <c r="T7" s="117">
        <v>45.09</v>
      </c>
      <c r="U7" s="117">
        <v>45.09</v>
      </c>
      <c r="V7" s="117">
        <v>45.09</v>
      </c>
      <c r="W7" s="117">
        <v>45.09</v>
      </c>
      <c r="X7" s="117">
        <v>45.09</v>
      </c>
      <c r="Y7" s="117">
        <v>45.09</v>
      </c>
      <c r="Z7" s="119">
        <f>SUM(B7:Y7)</f>
        <v>1069.9400000000005</v>
      </c>
      <c r="AD7" s="120"/>
      <c r="AE7" s="121"/>
      <c r="AF7" s="113"/>
      <c r="AG7" s="120"/>
    </row>
    <row r="8" spans="1:33" x14ac:dyDescent="0.2">
      <c r="A8" s="114" t="s">
        <v>58</v>
      </c>
      <c r="B8" s="115">
        <f>SUM(B5:B7)</f>
        <v>554.37</v>
      </c>
      <c r="C8" s="115">
        <f t="shared" ref="C8:Y8" si="0">SUM(C5:C7)</f>
        <v>554.3900000000001</v>
      </c>
      <c r="D8" s="115">
        <f t="shared" si="0"/>
        <v>554.38000000000011</v>
      </c>
      <c r="E8" s="115">
        <f t="shared" si="0"/>
        <v>554.37</v>
      </c>
      <c r="F8" s="115">
        <f t="shared" si="0"/>
        <v>554.38</v>
      </c>
      <c r="G8" s="115">
        <f t="shared" si="0"/>
        <v>554.37</v>
      </c>
      <c r="H8" s="115">
        <f t="shared" si="0"/>
        <v>594.4</v>
      </c>
      <c r="I8" s="115">
        <f t="shared" si="0"/>
        <v>594.4</v>
      </c>
      <c r="J8" s="115">
        <f t="shared" si="0"/>
        <v>594.4</v>
      </c>
      <c r="K8" s="115">
        <f t="shared" si="0"/>
        <v>594.4</v>
      </c>
      <c r="L8" s="115">
        <f t="shared" si="0"/>
        <v>594.4</v>
      </c>
      <c r="M8" s="115">
        <f t="shared" si="0"/>
        <v>594.4</v>
      </c>
      <c r="N8" s="115">
        <f t="shared" si="0"/>
        <v>594.4</v>
      </c>
      <c r="O8" s="115">
        <f t="shared" si="0"/>
        <v>594.4</v>
      </c>
      <c r="P8" s="115">
        <f t="shared" si="0"/>
        <v>594.4</v>
      </c>
      <c r="Q8" s="115">
        <f t="shared" si="0"/>
        <v>594.4</v>
      </c>
      <c r="R8" s="115">
        <f t="shared" si="0"/>
        <v>594.4</v>
      </c>
      <c r="S8" s="115">
        <f t="shared" si="0"/>
        <v>594.4</v>
      </c>
      <c r="T8" s="115">
        <f t="shared" si="0"/>
        <v>594.4</v>
      </c>
      <c r="U8" s="115">
        <f t="shared" si="0"/>
        <v>594.4</v>
      </c>
      <c r="V8" s="115">
        <f t="shared" si="0"/>
        <v>594.4</v>
      </c>
      <c r="W8" s="115">
        <f t="shared" si="0"/>
        <v>594.4</v>
      </c>
      <c r="X8" s="115">
        <f t="shared" si="0"/>
        <v>594.4</v>
      </c>
      <c r="Y8" s="115">
        <f t="shared" si="0"/>
        <v>594.4</v>
      </c>
      <c r="Z8" s="116">
        <f>SUM(B8:Y8)</f>
        <v>14025.459999999995</v>
      </c>
    </row>
    <row r="9" spans="1:33" x14ac:dyDescent="0.2">
      <c r="A9" s="118"/>
      <c r="B9" s="123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19"/>
    </row>
    <row r="10" spans="1:33" x14ac:dyDescent="0.2">
      <c r="A10" s="118" t="s">
        <v>137</v>
      </c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9"/>
    </row>
    <row r="11" spans="1:33" x14ac:dyDescent="0.2">
      <c r="A11" s="122" t="s">
        <v>138</v>
      </c>
      <c r="B11" s="117">
        <v>4.97</v>
      </c>
      <c r="C11" s="117">
        <v>4.97</v>
      </c>
      <c r="D11" s="117">
        <v>4.97</v>
      </c>
      <c r="E11" s="117">
        <v>4.97</v>
      </c>
      <c r="F11" s="117">
        <v>4.97</v>
      </c>
      <c r="G11" s="117">
        <v>4.97</v>
      </c>
      <c r="H11" s="117">
        <v>4.97</v>
      </c>
      <c r="I11" s="117">
        <v>4.97</v>
      </c>
      <c r="J11" s="117">
        <v>4.97</v>
      </c>
      <c r="K11" s="117">
        <v>4.97</v>
      </c>
      <c r="L11" s="117">
        <v>4.97</v>
      </c>
      <c r="M11" s="117">
        <v>4.97</v>
      </c>
      <c r="N11" s="117">
        <v>4.97</v>
      </c>
      <c r="O11" s="117">
        <v>4.97</v>
      </c>
      <c r="P11" s="117">
        <v>4.97</v>
      </c>
      <c r="Q11" s="117">
        <v>4.97</v>
      </c>
      <c r="R11" s="117">
        <v>4.97</v>
      </c>
      <c r="S11" s="117">
        <v>4.97</v>
      </c>
      <c r="T11" s="117">
        <v>4.97</v>
      </c>
      <c r="U11" s="117">
        <v>4.97</v>
      </c>
      <c r="V11" s="117">
        <v>4.97</v>
      </c>
      <c r="W11" s="117">
        <v>4.97</v>
      </c>
      <c r="X11" s="117">
        <v>4.97</v>
      </c>
      <c r="Y11" s="117">
        <v>4.97</v>
      </c>
      <c r="Z11" s="119">
        <f>SUM(B11:Y11)</f>
        <v>119.27999999999999</v>
      </c>
    </row>
    <row r="12" spans="1:33" x14ac:dyDescent="0.2">
      <c r="A12" s="122" t="s">
        <v>139</v>
      </c>
      <c r="B12" s="117">
        <v>24.05</v>
      </c>
      <c r="C12" s="117">
        <v>24.05</v>
      </c>
      <c r="D12" s="117">
        <v>24.05</v>
      </c>
      <c r="E12" s="117">
        <v>24.05</v>
      </c>
      <c r="F12" s="117">
        <v>24.05</v>
      </c>
      <c r="G12" s="117">
        <v>24.05</v>
      </c>
      <c r="H12" s="117">
        <v>24.05</v>
      </c>
      <c r="I12" s="117">
        <v>24.05</v>
      </c>
      <c r="J12" s="117">
        <v>24.05</v>
      </c>
      <c r="K12" s="117">
        <v>24.05</v>
      </c>
      <c r="L12" s="117">
        <v>24.05</v>
      </c>
      <c r="M12" s="117">
        <v>24.05</v>
      </c>
      <c r="N12" s="117">
        <v>24.05</v>
      </c>
      <c r="O12" s="117">
        <v>24.05</v>
      </c>
      <c r="P12" s="117">
        <v>24.05</v>
      </c>
      <c r="Q12" s="117">
        <v>24.05</v>
      </c>
      <c r="R12" s="117">
        <v>24.05</v>
      </c>
      <c r="S12" s="117">
        <v>24.05</v>
      </c>
      <c r="T12" s="117">
        <v>24.05</v>
      </c>
      <c r="U12" s="117">
        <v>24.05</v>
      </c>
      <c r="V12" s="117">
        <v>24.05</v>
      </c>
      <c r="W12" s="117">
        <v>24.05</v>
      </c>
      <c r="X12" s="117">
        <v>24.05</v>
      </c>
      <c r="Y12" s="117">
        <v>24.05</v>
      </c>
      <c r="Z12" s="119">
        <f>SUM(B12:Y12)</f>
        <v>577.20000000000005</v>
      </c>
    </row>
    <row r="13" spans="1:33" x14ac:dyDescent="0.2">
      <c r="A13" s="122" t="s">
        <v>140</v>
      </c>
      <c r="B13" s="117">
        <v>5.49</v>
      </c>
      <c r="C13" s="117">
        <v>5.49</v>
      </c>
      <c r="D13" s="117">
        <v>5.49</v>
      </c>
      <c r="E13" s="117">
        <v>5.49</v>
      </c>
      <c r="F13" s="117">
        <v>5.49</v>
      </c>
      <c r="G13" s="117">
        <v>5.49</v>
      </c>
      <c r="H13" s="117">
        <v>5.49</v>
      </c>
      <c r="I13" s="117">
        <v>5.49</v>
      </c>
      <c r="J13" s="117">
        <v>5.49</v>
      </c>
      <c r="K13" s="117">
        <v>5.49</v>
      </c>
      <c r="L13" s="117">
        <v>5.49</v>
      </c>
      <c r="M13" s="117">
        <v>5.49</v>
      </c>
      <c r="N13" s="117">
        <v>5.49</v>
      </c>
      <c r="O13" s="117">
        <v>5.49</v>
      </c>
      <c r="P13" s="117">
        <v>5.49</v>
      </c>
      <c r="Q13" s="117">
        <v>5.49</v>
      </c>
      <c r="R13" s="117">
        <v>5.49</v>
      </c>
      <c r="S13" s="117">
        <v>5.49</v>
      </c>
      <c r="T13" s="117">
        <v>5.49</v>
      </c>
      <c r="U13" s="117">
        <v>5.49</v>
      </c>
      <c r="V13" s="117">
        <v>5.49</v>
      </c>
      <c r="W13" s="117">
        <v>5.49</v>
      </c>
      <c r="X13" s="117">
        <v>5.49</v>
      </c>
      <c r="Y13" s="117">
        <v>5.49</v>
      </c>
      <c r="Z13" s="119">
        <f>SUM(B13:Y13)</f>
        <v>131.75999999999996</v>
      </c>
    </row>
    <row r="14" spans="1:33" x14ac:dyDescent="0.2">
      <c r="A14" s="114" t="s">
        <v>58</v>
      </c>
      <c r="B14" s="115">
        <f>SUM(B11:B13)</f>
        <v>34.51</v>
      </c>
      <c r="C14" s="115">
        <f t="shared" ref="C14:Y14" si="1">SUM(C11:C13)</f>
        <v>34.51</v>
      </c>
      <c r="D14" s="115">
        <f t="shared" si="1"/>
        <v>34.51</v>
      </c>
      <c r="E14" s="115">
        <f t="shared" si="1"/>
        <v>34.51</v>
      </c>
      <c r="F14" s="115">
        <f t="shared" si="1"/>
        <v>34.51</v>
      </c>
      <c r="G14" s="115">
        <f t="shared" si="1"/>
        <v>34.51</v>
      </c>
      <c r="H14" s="115">
        <f t="shared" si="1"/>
        <v>34.51</v>
      </c>
      <c r="I14" s="115">
        <f t="shared" si="1"/>
        <v>34.51</v>
      </c>
      <c r="J14" s="115">
        <f t="shared" si="1"/>
        <v>34.51</v>
      </c>
      <c r="K14" s="115">
        <f t="shared" si="1"/>
        <v>34.51</v>
      </c>
      <c r="L14" s="115">
        <f t="shared" si="1"/>
        <v>34.51</v>
      </c>
      <c r="M14" s="115">
        <f t="shared" si="1"/>
        <v>34.51</v>
      </c>
      <c r="N14" s="115">
        <f t="shared" si="1"/>
        <v>34.51</v>
      </c>
      <c r="O14" s="115">
        <f t="shared" si="1"/>
        <v>34.51</v>
      </c>
      <c r="P14" s="115">
        <f t="shared" si="1"/>
        <v>34.51</v>
      </c>
      <c r="Q14" s="115">
        <f t="shared" si="1"/>
        <v>34.51</v>
      </c>
      <c r="R14" s="115">
        <f t="shared" si="1"/>
        <v>34.51</v>
      </c>
      <c r="S14" s="115">
        <f t="shared" si="1"/>
        <v>34.51</v>
      </c>
      <c r="T14" s="115">
        <f t="shared" si="1"/>
        <v>34.51</v>
      </c>
      <c r="U14" s="115">
        <f t="shared" si="1"/>
        <v>34.51</v>
      </c>
      <c r="V14" s="115">
        <f t="shared" si="1"/>
        <v>34.51</v>
      </c>
      <c r="W14" s="115">
        <f t="shared" si="1"/>
        <v>34.51</v>
      </c>
      <c r="X14" s="115">
        <f t="shared" si="1"/>
        <v>34.51</v>
      </c>
      <c r="Y14" s="115">
        <f t="shared" si="1"/>
        <v>34.51</v>
      </c>
      <c r="Z14" s="116">
        <f>SUM(B14:Y14)</f>
        <v>828.2399999999999</v>
      </c>
    </row>
    <row r="15" spans="1:33" x14ac:dyDescent="0.2">
      <c r="A15" s="118"/>
      <c r="Z15" s="124"/>
    </row>
    <row r="16" spans="1:33" x14ac:dyDescent="0.2">
      <c r="A16" s="125" t="s">
        <v>141</v>
      </c>
      <c r="B16" s="126">
        <v>150</v>
      </c>
      <c r="C16" s="126">
        <v>150</v>
      </c>
      <c r="D16" s="126">
        <v>150</v>
      </c>
      <c r="E16" s="126">
        <v>150</v>
      </c>
      <c r="F16" s="126">
        <v>150</v>
      </c>
      <c r="G16" s="126">
        <v>150</v>
      </c>
      <c r="H16" s="126">
        <v>157.01</v>
      </c>
      <c r="I16" s="126">
        <v>157.01</v>
      </c>
      <c r="J16" s="126">
        <v>157.01</v>
      </c>
      <c r="K16" s="126">
        <v>157.01</v>
      </c>
      <c r="L16" s="126">
        <v>157.01</v>
      </c>
      <c r="M16" s="126">
        <v>157.01</v>
      </c>
      <c r="N16" s="126">
        <v>157.01</v>
      </c>
      <c r="O16" s="126">
        <v>157.01</v>
      </c>
      <c r="P16" s="126">
        <v>157.01</v>
      </c>
      <c r="Q16" s="126">
        <v>157.01</v>
      </c>
      <c r="R16" s="126">
        <v>157.01</v>
      </c>
      <c r="S16" s="126">
        <v>157.01</v>
      </c>
      <c r="T16" s="126">
        <v>157.01</v>
      </c>
      <c r="U16" s="126">
        <v>157.01</v>
      </c>
      <c r="V16" s="126">
        <v>157.01</v>
      </c>
      <c r="W16" s="126">
        <v>157.01</v>
      </c>
      <c r="X16" s="126">
        <v>157.01</v>
      </c>
      <c r="Y16" s="126">
        <v>157.01</v>
      </c>
      <c r="Z16" s="127">
        <f>SUM(B16:Y16)</f>
        <v>3726.1800000000021</v>
      </c>
    </row>
    <row r="17" spans="1:31" x14ac:dyDescent="0.2">
      <c r="Z17" s="124"/>
    </row>
    <row r="18" spans="1:31" ht="13.5" thickBot="1" x14ac:dyDescent="0.25">
      <c r="A18" s="128" t="s">
        <v>142</v>
      </c>
      <c r="B18" s="129">
        <f>B2-B8-B14-B16</f>
        <v>1761.1200000000001</v>
      </c>
      <c r="C18" s="129">
        <f t="shared" ref="C18:X18" si="2">C2-C8-C14-C16</f>
        <v>1761.1</v>
      </c>
      <c r="D18" s="129">
        <f t="shared" si="2"/>
        <v>1761.11</v>
      </c>
      <c r="E18" s="129">
        <f t="shared" si="2"/>
        <v>1761.1200000000001</v>
      </c>
      <c r="F18" s="129">
        <f t="shared" si="2"/>
        <v>1761.11</v>
      </c>
      <c r="G18" s="129">
        <f t="shared" si="2"/>
        <v>1761.1200000000001</v>
      </c>
      <c r="H18" s="129">
        <f>H2-H8-H14-H16</f>
        <v>1714.08</v>
      </c>
      <c r="I18" s="129">
        <f t="shared" si="2"/>
        <v>1714.08</v>
      </c>
      <c r="J18" s="129">
        <f t="shared" si="2"/>
        <v>1714.08</v>
      </c>
      <c r="K18" s="129">
        <f t="shared" si="2"/>
        <v>1714.08</v>
      </c>
      <c r="L18" s="129">
        <f t="shared" si="2"/>
        <v>1714.08</v>
      </c>
      <c r="M18" s="129">
        <f t="shared" si="2"/>
        <v>1714.08</v>
      </c>
      <c r="N18" s="129">
        <f t="shared" si="2"/>
        <v>1714.08</v>
      </c>
      <c r="O18" s="129">
        <f t="shared" si="2"/>
        <v>1714.08</v>
      </c>
      <c r="P18" s="129">
        <f t="shared" si="2"/>
        <v>1714.08</v>
      </c>
      <c r="Q18" s="129">
        <f t="shared" si="2"/>
        <v>1714.08</v>
      </c>
      <c r="R18" s="129">
        <f t="shared" si="2"/>
        <v>1714.08</v>
      </c>
      <c r="S18" s="129">
        <f t="shared" si="2"/>
        <v>1714.08</v>
      </c>
      <c r="T18" s="129">
        <f t="shared" si="2"/>
        <v>1714.08</v>
      </c>
      <c r="U18" s="129">
        <f t="shared" si="2"/>
        <v>1714.08</v>
      </c>
      <c r="V18" s="129">
        <f t="shared" si="2"/>
        <v>1714.08</v>
      </c>
      <c r="W18" s="129">
        <f t="shared" si="2"/>
        <v>1714.08</v>
      </c>
      <c r="X18" s="129">
        <f t="shared" si="2"/>
        <v>1714.08</v>
      </c>
      <c r="Y18" s="129">
        <f>Y2-Y8-Y14-Y16</f>
        <v>1714.08</v>
      </c>
      <c r="Z18" s="130">
        <f>SUM(B18:Y18)</f>
        <v>41420.120000000024</v>
      </c>
    </row>
    <row r="19" spans="1:31" ht="13.5" thickTop="1" x14ac:dyDescent="0.2">
      <c r="I19" s="113"/>
      <c r="J19" s="113"/>
      <c r="K19" s="117"/>
      <c r="L19" s="117"/>
      <c r="Z19" s="124"/>
    </row>
    <row r="20" spans="1:31" x14ac:dyDescent="0.2">
      <c r="A20" s="118"/>
      <c r="B20" s="117"/>
      <c r="C20" s="117"/>
      <c r="D20" s="117"/>
      <c r="E20" s="117"/>
      <c r="F20" s="117"/>
      <c r="G20" s="117"/>
      <c r="H20" s="117"/>
      <c r="I20" s="117" t="s">
        <v>143</v>
      </c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9"/>
      <c r="AD20" s="122"/>
      <c r="AE20" s="131"/>
    </row>
    <row r="21" spans="1:31" x14ac:dyDescent="0.2">
      <c r="A21" s="118" t="s">
        <v>9</v>
      </c>
      <c r="B21" s="11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9"/>
      <c r="AD21" s="122"/>
      <c r="AE21" s="131"/>
    </row>
    <row r="22" spans="1:31" x14ac:dyDescent="0.2">
      <c r="A22" s="122" t="s">
        <v>136</v>
      </c>
      <c r="B22" s="132">
        <f>B5/B2</f>
        <v>0.13089200000000001</v>
      </c>
      <c r="C22" s="132">
        <f t="shared" ref="C22:Z22" si="3">C5/C2</f>
        <v>0.13089200000000001</v>
      </c>
      <c r="D22" s="132">
        <f t="shared" si="3"/>
        <v>0.13089200000000001</v>
      </c>
      <c r="E22" s="132">
        <f t="shared" si="3"/>
        <v>0.13089200000000001</v>
      </c>
      <c r="F22" s="132">
        <f t="shared" si="3"/>
        <v>0.13089200000000001</v>
      </c>
      <c r="G22" s="132">
        <f t="shared" si="3"/>
        <v>0.13089200000000001</v>
      </c>
      <c r="H22" s="132">
        <f t="shared" si="3"/>
        <v>0.14260400000000001</v>
      </c>
      <c r="I22" s="132">
        <f t="shared" si="3"/>
        <v>0.14260400000000001</v>
      </c>
      <c r="J22" s="132">
        <f t="shared" si="3"/>
        <v>0.14260400000000001</v>
      </c>
      <c r="K22" s="132">
        <f t="shared" si="3"/>
        <v>0.14260400000000001</v>
      </c>
      <c r="L22" s="132">
        <f t="shared" si="3"/>
        <v>0.14260400000000001</v>
      </c>
      <c r="M22" s="132">
        <f t="shared" si="3"/>
        <v>0.14260400000000001</v>
      </c>
      <c r="N22" s="132">
        <f t="shared" si="3"/>
        <v>0.14260400000000001</v>
      </c>
      <c r="O22" s="132">
        <f t="shared" si="3"/>
        <v>0.14260400000000001</v>
      </c>
      <c r="P22" s="132">
        <f t="shared" si="3"/>
        <v>0.14260400000000001</v>
      </c>
      <c r="Q22" s="132">
        <f t="shared" si="3"/>
        <v>0.14260400000000001</v>
      </c>
      <c r="R22" s="132">
        <f t="shared" si="3"/>
        <v>0.14260400000000001</v>
      </c>
      <c r="S22" s="132">
        <f t="shared" si="3"/>
        <v>0.14260400000000001</v>
      </c>
      <c r="T22" s="132">
        <f t="shared" si="3"/>
        <v>0.14260400000000001</v>
      </c>
      <c r="U22" s="132">
        <f t="shared" si="3"/>
        <v>0.14260400000000001</v>
      </c>
      <c r="V22" s="132">
        <f t="shared" si="3"/>
        <v>0.14260400000000001</v>
      </c>
      <c r="W22" s="132">
        <f t="shared" si="3"/>
        <v>0.14260400000000001</v>
      </c>
      <c r="X22" s="132">
        <f t="shared" si="3"/>
        <v>0.14260400000000001</v>
      </c>
      <c r="Y22" s="132">
        <f t="shared" si="3"/>
        <v>0.14260400000000001</v>
      </c>
      <c r="Z22" s="133">
        <f t="shared" si="3"/>
        <v>0.13967600000000005</v>
      </c>
      <c r="AD22" s="122"/>
      <c r="AE22" s="131"/>
    </row>
    <row r="23" spans="1:31" x14ac:dyDescent="0.2">
      <c r="A23" s="122" t="s">
        <v>49</v>
      </c>
      <c r="B23" s="132">
        <f>B6/B2</f>
        <v>7.3636000000000007E-2</v>
      </c>
      <c r="C23" s="132">
        <f t="shared" ref="C23:Z23" si="4">C6/C2</f>
        <v>7.3639999999999997E-2</v>
      </c>
      <c r="D23" s="132">
        <f t="shared" si="4"/>
        <v>7.3636000000000007E-2</v>
      </c>
      <c r="E23" s="132">
        <f t="shared" si="4"/>
        <v>7.3636000000000007E-2</v>
      </c>
      <c r="F23" s="132">
        <f t="shared" si="4"/>
        <v>7.3639999999999997E-2</v>
      </c>
      <c r="G23" s="132">
        <f t="shared" si="4"/>
        <v>7.3636000000000007E-2</v>
      </c>
      <c r="H23" s="132">
        <f t="shared" si="4"/>
        <v>7.7120000000000008E-2</v>
      </c>
      <c r="I23" s="132">
        <f t="shared" si="4"/>
        <v>7.7120000000000008E-2</v>
      </c>
      <c r="J23" s="132">
        <f t="shared" si="4"/>
        <v>7.7120000000000008E-2</v>
      </c>
      <c r="K23" s="132">
        <f t="shared" si="4"/>
        <v>7.7120000000000008E-2</v>
      </c>
      <c r="L23" s="132">
        <f t="shared" si="4"/>
        <v>7.7120000000000008E-2</v>
      </c>
      <c r="M23" s="132">
        <f t="shared" si="4"/>
        <v>7.7120000000000008E-2</v>
      </c>
      <c r="N23" s="132">
        <f t="shared" si="4"/>
        <v>7.7120000000000008E-2</v>
      </c>
      <c r="O23" s="132">
        <f t="shared" si="4"/>
        <v>7.7120000000000008E-2</v>
      </c>
      <c r="P23" s="132">
        <f t="shared" si="4"/>
        <v>7.7120000000000008E-2</v>
      </c>
      <c r="Q23" s="132">
        <f t="shared" si="4"/>
        <v>7.7120000000000008E-2</v>
      </c>
      <c r="R23" s="132">
        <f t="shared" si="4"/>
        <v>7.7120000000000008E-2</v>
      </c>
      <c r="S23" s="132">
        <f t="shared" si="4"/>
        <v>7.7120000000000008E-2</v>
      </c>
      <c r="T23" s="132">
        <f t="shared" si="4"/>
        <v>7.7120000000000008E-2</v>
      </c>
      <c r="U23" s="132">
        <f t="shared" si="4"/>
        <v>7.7120000000000008E-2</v>
      </c>
      <c r="V23" s="132">
        <f t="shared" si="4"/>
        <v>7.7120000000000008E-2</v>
      </c>
      <c r="W23" s="132">
        <f t="shared" si="4"/>
        <v>7.7120000000000008E-2</v>
      </c>
      <c r="X23" s="132">
        <f t="shared" si="4"/>
        <v>7.7120000000000008E-2</v>
      </c>
      <c r="Y23" s="132">
        <f t="shared" si="4"/>
        <v>7.7120000000000008E-2</v>
      </c>
      <c r="Z23" s="133">
        <f t="shared" si="4"/>
        <v>7.6249333333333363E-2</v>
      </c>
    </row>
    <row r="24" spans="1:31" x14ac:dyDescent="0.2">
      <c r="A24" s="122" t="s">
        <v>48</v>
      </c>
      <c r="B24" s="132">
        <f>B7/B2</f>
        <v>1.7219999999999999E-2</v>
      </c>
      <c r="C24" s="132">
        <f t="shared" ref="C24:Z24" si="5">C7/C2</f>
        <v>1.7224E-2</v>
      </c>
      <c r="D24" s="132">
        <f t="shared" si="5"/>
        <v>1.7224E-2</v>
      </c>
      <c r="E24" s="132">
        <f t="shared" si="5"/>
        <v>1.7219999999999999E-2</v>
      </c>
      <c r="F24" s="132">
        <f t="shared" si="5"/>
        <v>1.7219999999999999E-2</v>
      </c>
      <c r="G24" s="132">
        <f t="shared" si="5"/>
        <v>1.7219999999999999E-2</v>
      </c>
      <c r="H24" s="132">
        <f>H7/H2</f>
        <v>1.8036E-2</v>
      </c>
      <c r="I24" s="132">
        <f t="shared" si="5"/>
        <v>1.8036E-2</v>
      </c>
      <c r="J24" s="132">
        <f t="shared" si="5"/>
        <v>1.8036E-2</v>
      </c>
      <c r="K24" s="132">
        <f t="shared" si="5"/>
        <v>1.8036E-2</v>
      </c>
      <c r="L24" s="132">
        <f t="shared" si="5"/>
        <v>1.8036E-2</v>
      </c>
      <c r="M24" s="132">
        <f t="shared" si="5"/>
        <v>1.8036E-2</v>
      </c>
      <c r="N24" s="132">
        <f t="shared" si="5"/>
        <v>1.8036E-2</v>
      </c>
      <c r="O24" s="132">
        <f t="shared" si="5"/>
        <v>1.8036E-2</v>
      </c>
      <c r="P24" s="132">
        <f t="shared" si="5"/>
        <v>1.8036E-2</v>
      </c>
      <c r="Q24" s="132">
        <f t="shared" si="5"/>
        <v>1.8036E-2</v>
      </c>
      <c r="R24" s="132">
        <f t="shared" si="5"/>
        <v>1.8036E-2</v>
      </c>
      <c r="S24" s="132">
        <f>S7/S2</f>
        <v>1.8036E-2</v>
      </c>
      <c r="T24" s="132">
        <f t="shared" si="5"/>
        <v>1.8036E-2</v>
      </c>
      <c r="U24" s="132">
        <f t="shared" si="5"/>
        <v>1.8036E-2</v>
      </c>
      <c r="V24" s="132">
        <f t="shared" si="5"/>
        <v>1.8036E-2</v>
      </c>
      <c r="W24" s="132">
        <f t="shared" si="5"/>
        <v>1.8036E-2</v>
      </c>
      <c r="X24" s="132">
        <f t="shared" si="5"/>
        <v>1.8036E-2</v>
      </c>
      <c r="Y24" s="132">
        <f t="shared" si="5"/>
        <v>1.8036E-2</v>
      </c>
      <c r="Z24" s="133">
        <f t="shared" si="5"/>
        <v>1.7832333333333342E-2</v>
      </c>
    </row>
    <row r="25" spans="1:31" x14ac:dyDescent="0.2">
      <c r="A25" s="114" t="s">
        <v>58</v>
      </c>
      <c r="B25" s="134">
        <f>B8/B2</f>
        <v>0.221748</v>
      </c>
      <c r="C25" s="134">
        <f t="shared" ref="C25:Z25" si="6">C8/C2</f>
        <v>0.22175600000000004</v>
      </c>
      <c r="D25" s="134">
        <f t="shared" si="6"/>
        <v>0.22175200000000003</v>
      </c>
      <c r="E25" s="134">
        <f t="shared" si="6"/>
        <v>0.221748</v>
      </c>
      <c r="F25" s="134">
        <f t="shared" si="6"/>
        <v>0.221752</v>
      </c>
      <c r="G25" s="134">
        <f t="shared" si="6"/>
        <v>0.221748</v>
      </c>
      <c r="H25" s="134">
        <f t="shared" si="6"/>
        <v>0.23776</v>
      </c>
      <c r="I25" s="134">
        <f t="shared" si="6"/>
        <v>0.23776</v>
      </c>
      <c r="J25" s="134">
        <f t="shared" si="6"/>
        <v>0.23776</v>
      </c>
      <c r="K25" s="134">
        <f t="shared" si="6"/>
        <v>0.23776</v>
      </c>
      <c r="L25" s="134">
        <f t="shared" si="6"/>
        <v>0.23776</v>
      </c>
      <c r="M25" s="134">
        <f t="shared" si="6"/>
        <v>0.23776</v>
      </c>
      <c r="N25" s="134">
        <f t="shared" si="6"/>
        <v>0.23776</v>
      </c>
      <c r="O25" s="134">
        <f t="shared" si="6"/>
        <v>0.23776</v>
      </c>
      <c r="P25" s="134">
        <f t="shared" si="6"/>
        <v>0.23776</v>
      </c>
      <c r="Q25" s="134">
        <f t="shared" si="6"/>
        <v>0.23776</v>
      </c>
      <c r="R25" s="134">
        <f t="shared" si="6"/>
        <v>0.23776</v>
      </c>
      <c r="S25" s="134">
        <f t="shared" si="6"/>
        <v>0.23776</v>
      </c>
      <c r="T25" s="134">
        <f t="shared" si="6"/>
        <v>0.23776</v>
      </c>
      <c r="U25" s="134">
        <f t="shared" si="6"/>
        <v>0.23776</v>
      </c>
      <c r="V25" s="134">
        <f t="shared" si="6"/>
        <v>0.23776</v>
      </c>
      <c r="W25" s="134">
        <f t="shared" si="6"/>
        <v>0.23776</v>
      </c>
      <c r="X25" s="134">
        <f t="shared" si="6"/>
        <v>0.23776</v>
      </c>
      <c r="Y25" s="134">
        <f t="shared" si="6"/>
        <v>0.23776</v>
      </c>
      <c r="Z25" s="135">
        <f t="shared" si="6"/>
        <v>0.23375766666666659</v>
      </c>
    </row>
    <row r="26" spans="1:31" x14ac:dyDescent="0.2">
      <c r="A26" s="118"/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3"/>
    </row>
    <row r="27" spans="1:31" x14ac:dyDescent="0.2">
      <c r="A27" s="118" t="s">
        <v>137</v>
      </c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3"/>
    </row>
    <row r="28" spans="1:31" x14ac:dyDescent="0.2">
      <c r="A28" s="122" t="s">
        <v>138</v>
      </c>
      <c r="B28" s="132">
        <f>B11/B2</f>
        <v>1.9879999999999997E-3</v>
      </c>
      <c r="C28" s="132">
        <f t="shared" ref="C28:Z28" si="7">C11/C2</f>
        <v>1.9879999999999997E-3</v>
      </c>
      <c r="D28" s="132">
        <f t="shared" si="7"/>
        <v>1.9879999999999997E-3</v>
      </c>
      <c r="E28" s="132">
        <f t="shared" si="7"/>
        <v>1.9879999999999997E-3</v>
      </c>
      <c r="F28" s="132">
        <f t="shared" si="7"/>
        <v>1.9879999999999997E-3</v>
      </c>
      <c r="G28" s="132">
        <f t="shared" si="7"/>
        <v>1.9879999999999997E-3</v>
      </c>
      <c r="H28" s="132">
        <f t="shared" si="7"/>
        <v>1.9879999999999997E-3</v>
      </c>
      <c r="I28" s="132">
        <f t="shared" si="7"/>
        <v>1.9879999999999997E-3</v>
      </c>
      <c r="J28" s="132">
        <f t="shared" si="7"/>
        <v>1.9879999999999997E-3</v>
      </c>
      <c r="K28" s="132">
        <f t="shared" si="7"/>
        <v>1.9879999999999997E-3</v>
      </c>
      <c r="L28" s="132">
        <f t="shared" si="7"/>
        <v>1.9879999999999997E-3</v>
      </c>
      <c r="M28" s="132">
        <f t="shared" si="7"/>
        <v>1.9879999999999997E-3</v>
      </c>
      <c r="N28" s="132">
        <f t="shared" si="7"/>
        <v>1.9879999999999997E-3</v>
      </c>
      <c r="O28" s="132">
        <f t="shared" si="7"/>
        <v>1.9879999999999997E-3</v>
      </c>
      <c r="P28" s="132">
        <f t="shared" si="7"/>
        <v>1.9879999999999997E-3</v>
      </c>
      <c r="Q28" s="132">
        <f t="shared" si="7"/>
        <v>1.9879999999999997E-3</v>
      </c>
      <c r="R28" s="132">
        <f t="shared" si="7"/>
        <v>1.9879999999999997E-3</v>
      </c>
      <c r="S28" s="132">
        <f t="shared" si="7"/>
        <v>1.9879999999999997E-3</v>
      </c>
      <c r="T28" s="132">
        <f t="shared" si="7"/>
        <v>1.9879999999999997E-3</v>
      </c>
      <c r="U28" s="132">
        <f t="shared" si="7"/>
        <v>1.9879999999999997E-3</v>
      </c>
      <c r="V28" s="132">
        <f t="shared" si="7"/>
        <v>1.9879999999999997E-3</v>
      </c>
      <c r="W28" s="132">
        <f t="shared" si="7"/>
        <v>1.9879999999999997E-3</v>
      </c>
      <c r="X28" s="132">
        <f t="shared" si="7"/>
        <v>1.9879999999999997E-3</v>
      </c>
      <c r="Y28" s="132">
        <f t="shared" si="7"/>
        <v>1.9879999999999997E-3</v>
      </c>
      <c r="Z28" s="133">
        <f t="shared" si="7"/>
        <v>1.9879999999999997E-3</v>
      </c>
    </row>
    <row r="29" spans="1:31" x14ac:dyDescent="0.2">
      <c r="A29" s="122" t="s">
        <v>139</v>
      </c>
      <c r="B29" s="132">
        <f>B12/B2</f>
        <v>9.6200000000000001E-3</v>
      </c>
      <c r="C29" s="132">
        <f t="shared" ref="C29:Z29" si="8">C12/C2</f>
        <v>9.6200000000000001E-3</v>
      </c>
      <c r="D29" s="132">
        <f t="shared" si="8"/>
        <v>9.6200000000000001E-3</v>
      </c>
      <c r="E29" s="132">
        <f t="shared" si="8"/>
        <v>9.6200000000000001E-3</v>
      </c>
      <c r="F29" s="132">
        <f t="shared" si="8"/>
        <v>9.6200000000000001E-3</v>
      </c>
      <c r="G29" s="132">
        <f t="shared" si="8"/>
        <v>9.6200000000000001E-3</v>
      </c>
      <c r="H29" s="132">
        <f t="shared" si="8"/>
        <v>9.6200000000000001E-3</v>
      </c>
      <c r="I29" s="132">
        <f t="shared" si="8"/>
        <v>9.6200000000000001E-3</v>
      </c>
      <c r="J29" s="132">
        <f t="shared" si="8"/>
        <v>9.6200000000000001E-3</v>
      </c>
      <c r="K29" s="132">
        <f t="shared" si="8"/>
        <v>9.6200000000000001E-3</v>
      </c>
      <c r="L29" s="132">
        <f t="shared" si="8"/>
        <v>9.6200000000000001E-3</v>
      </c>
      <c r="M29" s="132">
        <f t="shared" si="8"/>
        <v>9.6200000000000001E-3</v>
      </c>
      <c r="N29" s="132">
        <f t="shared" si="8"/>
        <v>9.6200000000000001E-3</v>
      </c>
      <c r="O29" s="132">
        <f t="shared" si="8"/>
        <v>9.6200000000000001E-3</v>
      </c>
      <c r="P29" s="132">
        <f t="shared" si="8"/>
        <v>9.6200000000000001E-3</v>
      </c>
      <c r="Q29" s="132">
        <f t="shared" si="8"/>
        <v>9.6200000000000001E-3</v>
      </c>
      <c r="R29" s="132">
        <f t="shared" si="8"/>
        <v>9.6200000000000001E-3</v>
      </c>
      <c r="S29" s="132">
        <f t="shared" si="8"/>
        <v>9.6200000000000001E-3</v>
      </c>
      <c r="T29" s="132">
        <f t="shared" si="8"/>
        <v>9.6200000000000001E-3</v>
      </c>
      <c r="U29" s="132">
        <f t="shared" si="8"/>
        <v>9.6200000000000001E-3</v>
      </c>
      <c r="V29" s="132">
        <f t="shared" si="8"/>
        <v>9.6200000000000001E-3</v>
      </c>
      <c r="W29" s="132">
        <f t="shared" si="8"/>
        <v>9.6200000000000001E-3</v>
      </c>
      <c r="X29" s="132">
        <f t="shared" si="8"/>
        <v>9.6200000000000001E-3</v>
      </c>
      <c r="Y29" s="132">
        <f t="shared" si="8"/>
        <v>9.6200000000000001E-3</v>
      </c>
      <c r="Z29" s="133">
        <f t="shared" si="8"/>
        <v>9.6200000000000001E-3</v>
      </c>
    </row>
    <row r="30" spans="1:31" x14ac:dyDescent="0.2">
      <c r="A30" s="122" t="s">
        <v>140</v>
      </c>
      <c r="B30" s="132">
        <f>B13/B2</f>
        <v>2.196E-3</v>
      </c>
      <c r="C30" s="132">
        <f t="shared" ref="C30:Z30" si="9">C13/C2</f>
        <v>2.196E-3</v>
      </c>
      <c r="D30" s="132">
        <f t="shared" si="9"/>
        <v>2.196E-3</v>
      </c>
      <c r="E30" s="132">
        <f t="shared" si="9"/>
        <v>2.196E-3</v>
      </c>
      <c r="F30" s="132">
        <f t="shared" si="9"/>
        <v>2.196E-3</v>
      </c>
      <c r="G30" s="132">
        <f t="shared" si="9"/>
        <v>2.196E-3</v>
      </c>
      <c r="H30" s="132">
        <f t="shared" si="9"/>
        <v>2.196E-3</v>
      </c>
      <c r="I30" s="132">
        <f t="shared" si="9"/>
        <v>2.196E-3</v>
      </c>
      <c r="J30" s="132">
        <f t="shared" si="9"/>
        <v>2.196E-3</v>
      </c>
      <c r="K30" s="132">
        <f t="shared" si="9"/>
        <v>2.196E-3</v>
      </c>
      <c r="L30" s="132">
        <f t="shared" si="9"/>
        <v>2.196E-3</v>
      </c>
      <c r="M30" s="132">
        <f t="shared" si="9"/>
        <v>2.196E-3</v>
      </c>
      <c r="N30" s="132">
        <f t="shared" si="9"/>
        <v>2.196E-3</v>
      </c>
      <c r="O30" s="132">
        <f t="shared" si="9"/>
        <v>2.196E-3</v>
      </c>
      <c r="P30" s="132">
        <f t="shared" si="9"/>
        <v>2.196E-3</v>
      </c>
      <c r="Q30" s="132">
        <f t="shared" si="9"/>
        <v>2.196E-3</v>
      </c>
      <c r="R30" s="132">
        <f t="shared" si="9"/>
        <v>2.196E-3</v>
      </c>
      <c r="S30" s="132">
        <f t="shared" si="9"/>
        <v>2.196E-3</v>
      </c>
      <c r="T30" s="132">
        <f t="shared" si="9"/>
        <v>2.196E-3</v>
      </c>
      <c r="U30" s="132">
        <f t="shared" si="9"/>
        <v>2.196E-3</v>
      </c>
      <c r="V30" s="132">
        <f t="shared" si="9"/>
        <v>2.196E-3</v>
      </c>
      <c r="W30" s="132">
        <f t="shared" si="9"/>
        <v>2.196E-3</v>
      </c>
      <c r="X30" s="132">
        <f t="shared" si="9"/>
        <v>2.196E-3</v>
      </c>
      <c r="Y30" s="132">
        <f t="shared" si="9"/>
        <v>2.196E-3</v>
      </c>
      <c r="Z30" s="133">
        <f t="shared" si="9"/>
        <v>2.1959999999999992E-3</v>
      </c>
    </row>
    <row r="31" spans="1:31" x14ac:dyDescent="0.2">
      <c r="A31" s="114" t="s">
        <v>58</v>
      </c>
      <c r="B31" s="134">
        <f>B14/B2</f>
        <v>1.3803999999999999E-2</v>
      </c>
      <c r="C31" s="134">
        <f t="shared" ref="C31:Z31" si="10">C14/C2</f>
        <v>1.3803999999999999E-2</v>
      </c>
      <c r="D31" s="134">
        <f t="shared" si="10"/>
        <v>1.3803999999999999E-2</v>
      </c>
      <c r="E31" s="134">
        <f t="shared" si="10"/>
        <v>1.3803999999999999E-2</v>
      </c>
      <c r="F31" s="134">
        <f t="shared" si="10"/>
        <v>1.3803999999999999E-2</v>
      </c>
      <c r="G31" s="134">
        <f t="shared" si="10"/>
        <v>1.3803999999999999E-2</v>
      </c>
      <c r="H31" s="134">
        <f t="shared" si="10"/>
        <v>1.3803999999999999E-2</v>
      </c>
      <c r="I31" s="134">
        <f t="shared" si="10"/>
        <v>1.3803999999999999E-2</v>
      </c>
      <c r="J31" s="134">
        <f t="shared" si="10"/>
        <v>1.3803999999999999E-2</v>
      </c>
      <c r="K31" s="134">
        <f t="shared" si="10"/>
        <v>1.3803999999999999E-2</v>
      </c>
      <c r="L31" s="134">
        <f t="shared" si="10"/>
        <v>1.3803999999999999E-2</v>
      </c>
      <c r="M31" s="134">
        <f t="shared" si="10"/>
        <v>1.3803999999999999E-2</v>
      </c>
      <c r="N31" s="134">
        <f t="shared" si="10"/>
        <v>1.3803999999999999E-2</v>
      </c>
      <c r="O31" s="134">
        <f t="shared" si="10"/>
        <v>1.3803999999999999E-2</v>
      </c>
      <c r="P31" s="134">
        <f t="shared" si="10"/>
        <v>1.3803999999999999E-2</v>
      </c>
      <c r="Q31" s="134">
        <f t="shared" si="10"/>
        <v>1.3803999999999999E-2</v>
      </c>
      <c r="R31" s="134">
        <f t="shared" si="10"/>
        <v>1.3803999999999999E-2</v>
      </c>
      <c r="S31" s="134">
        <f t="shared" si="10"/>
        <v>1.3803999999999999E-2</v>
      </c>
      <c r="T31" s="134">
        <f t="shared" si="10"/>
        <v>1.3803999999999999E-2</v>
      </c>
      <c r="U31" s="134">
        <f t="shared" si="10"/>
        <v>1.3803999999999999E-2</v>
      </c>
      <c r="V31" s="134">
        <f t="shared" si="10"/>
        <v>1.3803999999999999E-2</v>
      </c>
      <c r="W31" s="134">
        <f t="shared" si="10"/>
        <v>1.3803999999999999E-2</v>
      </c>
      <c r="X31" s="134">
        <f t="shared" si="10"/>
        <v>1.3803999999999999E-2</v>
      </c>
      <c r="Y31" s="134">
        <f t="shared" si="10"/>
        <v>1.3803999999999999E-2</v>
      </c>
      <c r="Z31" s="135">
        <f t="shared" si="10"/>
        <v>1.3803999999999999E-2</v>
      </c>
    </row>
    <row r="32" spans="1:31" x14ac:dyDescent="0.2">
      <c r="A32" s="118"/>
      <c r="B32" s="132"/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3"/>
    </row>
    <row r="33" spans="1:26" x14ac:dyDescent="0.2">
      <c r="A33" s="125" t="s">
        <v>141</v>
      </c>
      <c r="B33" s="134">
        <f>B16/B2</f>
        <v>0.06</v>
      </c>
      <c r="C33" s="134">
        <f t="shared" ref="C33:Z33" si="11">C16/C2</f>
        <v>0.06</v>
      </c>
      <c r="D33" s="134">
        <f t="shared" si="11"/>
        <v>0.06</v>
      </c>
      <c r="E33" s="134">
        <f t="shared" si="11"/>
        <v>0.06</v>
      </c>
      <c r="F33" s="134">
        <f t="shared" si="11"/>
        <v>0.06</v>
      </c>
      <c r="G33" s="134">
        <f t="shared" si="11"/>
        <v>0.06</v>
      </c>
      <c r="H33" s="134">
        <f t="shared" si="11"/>
        <v>6.2803999999999999E-2</v>
      </c>
      <c r="I33" s="134">
        <f t="shared" si="11"/>
        <v>6.2803999999999999E-2</v>
      </c>
      <c r="J33" s="134">
        <f t="shared" si="11"/>
        <v>6.2803999999999999E-2</v>
      </c>
      <c r="K33" s="134">
        <f t="shared" si="11"/>
        <v>6.2803999999999999E-2</v>
      </c>
      <c r="L33" s="134">
        <f t="shared" si="11"/>
        <v>6.2803999999999999E-2</v>
      </c>
      <c r="M33" s="134">
        <f t="shared" si="11"/>
        <v>6.2803999999999999E-2</v>
      </c>
      <c r="N33" s="134">
        <f t="shared" si="11"/>
        <v>6.2803999999999999E-2</v>
      </c>
      <c r="O33" s="134">
        <f t="shared" si="11"/>
        <v>6.2803999999999999E-2</v>
      </c>
      <c r="P33" s="134">
        <f t="shared" si="11"/>
        <v>6.2803999999999999E-2</v>
      </c>
      <c r="Q33" s="134">
        <f t="shared" si="11"/>
        <v>6.2803999999999999E-2</v>
      </c>
      <c r="R33" s="134">
        <f t="shared" si="11"/>
        <v>6.2803999999999999E-2</v>
      </c>
      <c r="S33" s="134">
        <f t="shared" si="11"/>
        <v>6.2803999999999999E-2</v>
      </c>
      <c r="T33" s="134">
        <f t="shared" si="11"/>
        <v>6.2803999999999999E-2</v>
      </c>
      <c r="U33" s="134">
        <f t="shared" si="11"/>
        <v>6.2803999999999999E-2</v>
      </c>
      <c r="V33" s="134">
        <f t="shared" si="11"/>
        <v>6.2803999999999999E-2</v>
      </c>
      <c r="W33" s="134">
        <f t="shared" si="11"/>
        <v>6.2803999999999999E-2</v>
      </c>
      <c r="X33" s="134">
        <f t="shared" si="11"/>
        <v>6.2803999999999999E-2</v>
      </c>
      <c r="Y33" s="134">
        <f t="shared" si="11"/>
        <v>6.2803999999999999E-2</v>
      </c>
      <c r="Z33" s="135">
        <f t="shared" si="11"/>
        <v>6.2103000000000033E-2</v>
      </c>
    </row>
    <row r="34" spans="1:26" x14ac:dyDescent="0.2">
      <c r="B34" s="132"/>
      <c r="C34" s="132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3"/>
    </row>
    <row r="35" spans="1:26" ht="13.5" thickBot="1" x14ac:dyDescent="0.25">
      <c r="A35" s="128" t="s">
        <v>142</v>
      </c>
      <c r="B35" s="137">
        <f>B18/B2</f>
        <v>0.70444800000000007</v>
      </c>
      <c r="C35" s="137">
        <f t="shared" ref="C35:Y35" si="12">C18/C2</f>
        <v>0.70443999999999996</v>
      </c>
      <c r="D35" s="137">
        <f t="shared" si="12"/>
        <v>0.70444399999999996</v>
      </c>
      <c r="E35" s="137">
        <f t="shared" si="12"/>
        <v>0.70444800000000007</v>
      </c>
      <c r="F35" s="137">
        <f t="shared" si="12"/>
        <v>0.70444399999999996</v>
      </c>
      <c r="G35" s="137">
        <f t="shared" si="12"/>
        <v>0.70444800000000007</v>
      </c>
      <c r="H35" s="137">
        <f>H18/H2</f>
        <v>0.68563200000000002</v>
      </c>
      <c r="I35" s="137">
        <f t="shared" si="12"/>
        <v>0.68563200000000002</v>
      </c>
      <c r="J35" s="137">
        <f t="shared" si="12"/>
        <v>0.68563200000000002</v>
      </c>
      <c r="K35" s="137">
        <f t="shared" si="12"/>
        <v>0.68563200000000002</v>
      </c>
      <c r="L35" s="137">
        <f t="shared" si="12"/>
        <v>0.68563200000000002</v>
      </c>
      <c r="M35" s="137">
        <f t="shared" si="12"/>
        <v>0.68563200000000002</v>
      </c>
      <c r="N35" s="137">
        <f t="shared" si="12"/>
        <v>0.68563200000000002</v>
      </c>
      <c r="O35" s="137">
        <f t="shared" si="12"/>
        <v>0.68563200000000002</v>
      </c>
      <c r="P35" s="137">
        <f t="shared" si="12"/>
        <v>0.68563200000000002</v>
      </c>
      <c r="Q35" s="137">
        <f t="shared" si="12"/>
        <v>0.68563200000000002</v>
      </c>
      <c r="R35" s="137">
        <f t="shared" si="12"/>
        <v>0.68563200000000002</v>
      </c>
      <c r="S35" s="137">
        <f t="shared" si="12"/>
        <v>0.68563200000000002</v>
      </c>
      <c r="T35" s="137">
        <f t="shared" si="12"/>
        <v>0.68563200000000002</v>
      </c>
      <c r="U35" s="137">
        <f t="shared" si="12"/>
        <v>0.68563200000000002</v>
      </c>
      <c r="V35" s="137">
        <f t="shared" si="12"/>
        <v>0.68563200000000002</v>
      </c>
      <c r="W35" s="137">
        <f t="shared" si="12"/>
        <v>0.68563200000000002</v>
      </c>
      <c r="X35" s="137">
        <f t="shared" si="12"/>
        <v>0.68563200000000002</v>
      </c>
      <c r="Y35" s="137">
        <f t="shared" si="12"/>
        <v>0.68563200000000002</v>
      </c>
      <c r="Z35" s="138">
        <f>Z18/Z2</f>
        <v>0.69033533333333374</v>
      </c>
    </row>
    <row r="36" spans="1:26" ht="13.5" thickTop="1" x14ac:dyDescent="0.2">
      <c r="H36" s="117"/>
      <c r="I36" s="113"/>
      <c r="J36" s="113"/>
      <c r="K36" s="117"/>
      <c r="L36" s="117"/>
      <c r="U36" s="117"/>
      <c r="V36" s="113"/>
    </row>
    <row r="37" spans="1:26" x14ac:dyDescent="0.2">
      <c r="G37" s="117"/>
      <c r="H37" s="117"/>
      <c r="I37" s="113"/>
      <c r="J37" s="113"/>
      <c r="K37" s="117"/>
      <c r="L37" s="117"/>
      <c r="U37" s="117"/>
      <c r="V37" s="113"/>
    </row>
    <row r="38" spans="1:26" x14ac:dyDescent="0.2">
      <c r="G38" s="117"/>
      <c r="H38" s="117"/>
      <c r="I38" s="113"/>
      <c r="J38" s="113"/>
      <c r="K38" s="117"/>
      <c r="L38" s="117"/>
      <c r="U38" s="117"/>
      <c r="V38" s="113"/>
    </row>
    <row r="39" spans="1:26" x14ac:dyDescent="0.2">
      <c r="I39" s="113"/>
      <c r="K39" s="117"/>
      <c r="L39" s="117"/>
      <c r="U39" s="117"/>
      <c r="V39" s="113"/>
    </row>
    <row r="40" spans="1:26" x14ac:dyDescent="0.2">
      <c r="H40" s="117"/>
      <c r="I40" s="113"/>
      <c r="K40" s="117"/>
      <c r="L40" s="117"/>
      <c r="U40" s="117"/>
      <c r="V40" s="113"/>
    </row>
    <row r="41" spans="1:26" x14ac:dyDescent="0.2">
      <c r="K41" s="117"/>
      <c r="L41" s="117"/>
      <c r="U41" s="117"/>
      <c r="V41" s="113"/>
    </row>
    <row r="42" spans="1:26" x14ac:dyDescent="0.2">
      <c r="L42" s="117"/>
      <c r="U42" s="117"/>
      <c r="V42" s="113"/>
    </row>
    <row r="43" spans="1:26" x14ac:dyDescent="0.2">
      <c r="G43" s="139"/>
      <c r="U43" s="117"/>
      <c r="V43" s="113"/>
    </row>
    <row r="44" spans="1:26" x14ac:dyDescent="0.2">
      <c r="H44" s="139"/>
      <c r="I44" s="139"/>
      <c r="J44" s="139"/>
      <c r="K44" s="139"/>
      <c r="V44" s="113"/>
    </row>
    <row r="45" spans="1:26" x14ac:dyDescent="0.2">
      <c r="V45" s="113"/>
    </row>
    <row r="46" spans="1:26" x14ac:dyDescent="0.2">
      <c r="V46" s="113"/>
    </row>
    <row r="47" spans="1:26" x14ac:dyDescent="0.2">
      <c r="V47" s="113"/>
    </row>
    <row r="48" spans="1:26" x14ac:dyDescent="0.2">
      <c r="V48" s="113"/>
    </row>
    <row r="49" spans="22:22" x14ac:dyDescent="0.2">
      <c r="V49" s="113"/>
    </row>
    <row r="50" spans="22:22" x14ac:dyDescent="0.2">
      <c r="V50" s="113"/>
    </row>
    <row r="51" spans="22:22" x14ac:dyDescent="0.2">
      <c r="V51" s="113"/>
    </row>
    <row r="52" spans="22:22" x14ac:dyDescent="0.2">
      <c r="V52" s="113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CBF8E-FD91-42F5-A729-9B077950C158}">
  <dimension ref="A1:D19"/>
  <sheetViews>
    <sheetView workbookViewId="0">
      <selection activeCell="M11" sqref="M11"/>
    </sheetView>
  </sheetViews>
  <sheetFormatPr defaultRowHeight="15" x14ac:dyDescent="0.25"/>
  <cols>
    <col min="1" max="1" width="13.42578125" bestFit="1" customWidth="1"/>
    <col min="2" max="3" width="11.5703125" bestFit="1" customWidth="1"/>
    <col min="4" max="4" width="12.5703125" bestFit="1" customWidth="1"/>
  </cols>
  <sheetData>
    <row r="1" spans="1:4" ht="15.75" thickBot="1" x14ac:dyDescent="0.3">
      <c r="B1" s="173" t="s">
        <v>228</v>
      </c>
      <c r="C1" s="173" t="s">
        <v>229</v>
      </c>
      <c r="D1" s="195" t="s">
        <v>58</v>
      </c>
    </row>
    <row r="2" spans="1:4" x14ac:dyDescent="0.25">
      <c r="A2" s="114" t="s">
        <v>135</v>
      </c>
      <c r="B2" s="193">
        <f>'PayCheck 1'!Z2</f>
        <v>74521.799999999988</v>
      </c>
      <c r="C2" s="197">
        <f>'PayCheck 2'!Z2</f>
        <v>60000</v>
      </c>
      <c r="D2" s="198">
        <f>SUM(B2:C2)</f>
        <v>134521.79999999999</v>
      </c>
    </row>
    <row r="3" spans="1:4" x14ac:dyDescent="0.25">
      <c r="A3" s="118"/>
      <c r="B3" s="4"/>
      <c r="C3" s="4"/>
      <c r="D3" s="196"/>
    </row>
    <row r="4" spans="1:4" x14ac:dyDescent="0.25">
      <c r="A4" s="118" t="s">
        <v>9</v>
      </c>
      <c r="B4" s="4"/>
      <c r="C4" s="4"/>
      <c r="D4" s="196"/>
    </row>
    <row r="5" spans="1:4" x14ac:dyDescent="0.25">
      <c r="A5" s="122" t="s">
        <v>136</v>
      </c>
      <c r="B5" s="4">
        <f>'PayCheck 1'!Z5</f>
        <v>8380.5600000000031</v>
      </c>
      <c r="C5" s="4">
        <f>'PayCheck 2'!Z5</f>
        <v>8380.5600000000031</v>
      </c>
      <c r="D5" s="196">
        <f>SUM(B5:C5)</f>
        <v>16761.120000000006</v>
      </c>
    </row>
    <row r="6" spans="1:4" x14ac:dyDescent="0.25">
      <c r="A6" s="122" t="s">
        <v>49</v>
      </c>
      <c r="B6" s="4">
        <f>'PayCheck 1'!Z6</f>
        <v>4574.9600000000019</v>
      </c>
      <c r="C6" s="4">
        <f>'PayCheck 2'!Z6</f>
        <v>4574.9600000000019</v>
      </c>
      <c r="D6" s="196">
        <f>SUM(B6:C6)</f>
        <v>9149.9200000000037</v>
      </c>
    </row>
    <row r="7" spans="1:4" x14ac:dyDescent="0.25">
      <c r="A7" s="122" t="s">
        <v>48</v>
      </c>
      <c r="B7" s="4">
        <f>'PayCheck 1'!Z7</f>
        <v>1069.9400000000005</v>
      </c>
      <c r="C7" s="4">
        <f>'PayCheck 2'!Z7</f>
        <v>1069.9400000000005</v>
      </c>
      <c r="D7" s="196">
        <f>SUM(B7:C7)</f>
        <v>2139.880000000001</v>
      </c>
    </row>
    <row r="8" spans="1:4" x14ac:dyDescent="0.25">
      <c r="A8" s="114" t="s">
        <v>58</v>
      </c>
      <c r="B8" s="193">
        <f>'PayCheck 1'!Z8</f>
        <v>14025.459999999995</v>
      </c>
      <c r="C8" s="193">
        <f>'PayCheck 2'!Z8</f>
        <v>14025.459999999995</v>
      </c>
      <c r="D8" s="199">
        <f>SUM(B8:C8)</f>
        <v>28050.919999999991</v>
      </c>
    </row>
    <row r="9" spans="1:4" x14ac:dyDescent="0.25">
      <c r="A9" s="118"/>
      <c r="B9" s="4"/>
      <c r="C9" s="4"/>
      <c r="D9" s="196"/>
    </row>
    <row r="10" spans="1:4" x14ac:dyDescent="0.25">
      <c r="A10" s="118" t="s">
        <v>137</v>
      </c>
      <c r="B10" s="4"/>
      <c r="C10" s="4"/>
      <c r="D10" s="196"/>
    </row>
    <row r="11" spans="1:4" x14ac:dyDescent="0.25">
      <c r="A11" s="122" t="s">
        <v>138</v>
      </c>
      <c r="B11" s="4">
        <f>'PayCheck 1'!Z11</f>
        <v>119.27999999999999</v>
      </c>
      <c r="C11" s="4">
        <f>'PayCheck 2'!Z11</f>
        <v>119.27999999999999</v>
      </c>
      <c r="D11" s="196">
        <f>SUM(B11:C11)</f>
        <v>238.55999999999997</v>
      </c>
    </row>
    <row r="12" spans="1:4" x14ac:dyDescent="0.25">
      <c r="A12" s="122" t="s">
        <v>139</v>
      </c>
      <c r="B12" s="4">
        <f>'PayCheck 1'!Z12</f>
        <v>577.20000000000005</v>
      </c>
      <c r="C12" s="4">
        <f>'PayCheck 2'!Z12</f>
        <v>577.20000000000005</v>
      </c>
      <c r="D12" s="196">
        <f>SUM(B12:C12)</f>
        <v>1154.4000000000001</v>
      </c>
    </row>
    <row r="13" spans="1:4" x14ac:dyDescent="0.25">
      <c r="A13" s="122" t="s">
        <v>140</v>
      </c>
      <c r="B13" s="4">
        <f>'PayCheck 1'!Z13</f>
        <v>131.75999999999996</v>
      </c>
      <c r="C13" s="4">
        <f>'PayCheck 2'!Z13</f>
        <v>131.75999999999996</v>
      </c>
      <c r="D13" s="196">
        <f>SUM(B13:C13)</f>
        <v>263.51999999999992</v>
      </c>
    </row>
    <row r="14" spans="1:4" x14ac:dyDescent="0.25">
      <c r="A14" s="114" t="s">
        <v>58</v>
      </c>
      <c r="B14" s="193">
        <f>'PayCheck 1'!Z14</f>
        <v>828.2399999999999</v>
      </c>
      <c r="C14" s="193">
        <f>'PayCheck 2'!Z14</f>
        <v>828.2399999999999</v>
      </c>
      <c r="D14" s="199">
        <f>SUM(B14:C14)</f>
        <v>1656.4799999999998</v>
      </c>
    </row>
    <row r="15" spans="1:4" x14ac:dyDescent="0.25">
      <c r="A15" s="118"/>
      <c r="B15" s="4"/>
      <c r="C15" s="4"/>
      <c r="D15" s="196"/>
    </row>
    <row r="16" spans="1:4" x14ac:dyDescent="0.25">
      <c r="A16" s="125" t="s">
        <v>141</v>
      </c>
      <c r="B16" s="193">
        <f>'PayCheck 1'!Z16</f>
        <v>3726.1800000000021</v>
      </c>
      <c r="C16" s="193">
        <f>'PayCheck 2'!Z16</f>
        <v>3726.1800000000021</v>
      </c>
      <c r="D16" s="199">
        <f>SUM(B16:C16)</f>
        <v>7452.3600000000042</v>
      </c>
    </row>
    <row r="17" spans="1:4" x14ac:dyDescent="0.25">
      <c r="A17" s="108"/>
      <c r="B17" s="4"/>
      <c r="C17" s="4"/>
      <c r="D17" s="196"/>
    </row>
    <row r="18" spans="1:4" ht="15.75" thickBot="1" x14ac:dyDescent="0.3">
      <c r="A18" s="128" t="s">
        <v>142</v>
      </c>
      <c r="B18" s="194">
        <f>'PayCheck 1'!Z18</f>
        <v>55941.919999999998</v>
      </c>
      <c r="C18" s="194">
        <f>'PayCheck 2'!Z18</f>
        <v>41420.120000000024</v>
      </c>
      <c r="D18" s="200">
        <f>SUM(B18:C18)</f>
        <v>97362.040000000023</v>
      </c>
    </row>
    <row r="19" spans="1:4" ht="15.75" thickTop="1" x14ac:dyDescent="0.25">
      <c r="B19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8DD4B-9449-4B0F-AF35-CA0BC3A4DC4E}">
  <dimension ref="A1:AC10"/>
  <sheetViews>
    <sheetView zoomScale="90" zoomScaleNormal="90" workbookViewId="0">
      <selection activeCell="K43" sqref="K43"/>
    </sheetView>
  </sheetViews>
  <sheetFormatPr defaultColWidth="18.5703125" defaultRowHeight="15" x14ac:dyDescent="0.25"/>
  <cols>
    <col min="1" max="1" width="16.42578125" style="144" customWidth="1"/>
    <col min="2" max="2" width="13.28515625" style="144" bestFit="1" customWidth="1"/>
    <col min="3" max="3" width="11.42578125" style="144" bestFit="1" customWidth="1"/>
    <col min="4" max="4" width="18.42578125" style="144" bestFit="1" customWidth="1"/>
    <col min="5" max="5" width="25.7109375" style="144" bestFit="1" customWidth="1"/>
    <col min="6" max="6" width="8.42578125" style="144" bestFit="1" customWidth="1"/>
    <col min="7" max="7" width="9.28515625" style="144" bestFit="1" customWidth="1"/>
    <col min="8" max="8" width="7.28515625" style="144" bestFit="1" customWidth="1"/>
    <col min="9" max="9" width="6" style="144" bestFit="1" customWidth="1"/>
    <col min="10" max="11" width="5.85546875" style="144" bestFit="1" customWidth="1"/>
    <col min="12" max="12" width="5.42578125" style="144" bestFit="1" customWidth="1"/>
    <col min="13" max="13" width="7.7109375" style="144" bestFit="1" customWidth="1"/>
    <col min="14" max="14" width="11" style="144" bestFit="1" customWidth="1"/>
    <col min="15" max="15" width="8.5703125" style="144" bestFit="1" customWidth="1"/>
    <col min="16" max="16" width="10.5703125" style="144" bestFit="1" customWidth="1"/>
    <col min="17" max="17" width="10.42578125" style="144" bestFit="1" customWidth="1"/>
    <col min="18" max="18" width="8.42578125" style="144" bestFit="1" customWidth="1"/>
    <col min="19" max="19" width="19.85546875" style="144" bestFit="1" customWidth="1"/>
    <col min="20" max="16384" width="18.5703125" style="144"/>
  </cols>
  <sheetData>
    <row r="1" spans="1:29" ht="15.75" thickBot="1" x14ac:dyDescent="0.3">
      <c r="A1" s="111" t="s">
        <v>151</v>
      </c>
      <c r="B1" s="111" t="s">
        <v>158</v>
      </c>
      <c r="C1" s="112" t="s">
        <v>150</v>
      </c>
      <c r="D1" s="111" t="s">
        <v>154</v>
      </c>
      <c r="E1" s="148" t="s">
        <v>155</v>
      </c>
      <c r="F1" s="111" t="s">
        <v>99</v>
      </c>
      <c r="G1" s="111" t="s">
        <v>100</v>
      </c>
      <c r="H1" s="111" t="s">
        <v>101</v>
      </c>
      <c r="I1" s="111" t="s">
        <v>102</v>
      </c>
      <c r="J1" s="111" t="s">
        <v>103</v>
      </c>
      <c r="K1" s="111" t="s">
        <v>104</v>
      </c>
      <c r="L1" s="111" t="s">
        <v>105</v>
      </c>
      <c r="M1" s="111" t="s">
        <v>106</v>
      </c>
      <c r="N1" s="111" t="s">
        <v>107</v>
      </c>
      <c r="O1" s="111" t="s">
        <v>108</v>
      </c>
      <c r="P1" s="111" t="s">
        <v>109</v>
      </c>
      <c r="Q1" s="148" t="s">
        <v>110</v>
      </c>
      <c r="R1" s="111" t="s">
        <v>58</v>
      </c>
      <c r="S1" s="112" t="s">
        <v>156</v>
      </c>
    </row>
    <row r="2" spans="1:29" x14ac:dyDescent="0.25">
      <c r="A2" s="145" t="s">
        <v>146</v>
      </c>
      <c r="B2" s="151"/>
      <c r="C2" s="155">
        <v>6000</v>
      </c>
      <c r="D2" s="156">
        <v>1000</v>
      </c>
      <c r="E2" s="157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9">
        <v>6000</v>
      </c>
      <c r="R2" s="158">
        <f t="shared" ref="R2:R7" si="0">SUM(F2:Q2)</f>
        <v>6000</v>
      </c>
      <c r="S2" s="160">
        <f>C2-R2</f>
        <v>0</v>
      </c>
    </row>
    <row r="3" spans="1:29" x14ac:dyDescent="0.25">
      <c r="A3" s="143">
        <v>529</v>
      </c>
      <c r="B3" s="151"/>
      <c r="C3" s="155">
        <v>15000</v>
      </c>
      <c r="D3" s="156">
        <v>1000</v>
      </c>
      <c r="E3" s="157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2"/>
      <c r="R3" s="158">
        <f t="shared" si="0"/>
        <v>0</v>
      </c>
      <c r="S3" s="160">
        <f>C3-R3</f>
        <v>15000</v>
      </c>
    </row>
    <row r="4" spans="1:29" x14ac:dyDescent="0.25">
      <c r="A4" s="145" t="s">
        <v>148</v>
      </c>
      <c r="B4" s="151"/>
      <c r="C4" s="155">
        <v>19500</v>
      </c>
      <c r="D4" s="156">
        <v>6500</v>
      </c>
      <c r="E4" s="157">
        <v>19500</v>
      </c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2"/>
      <c r="R4" s="158">
        <f t="shared" si="0"/>
        <v>0</v>
      </c>
      <c r="S4" s="160">
        <f>C4-R4</f>
        <v>19500</v>
      </c>
    </row>
    <row r="5" spans="1:29" x14ac:dyDescent="0.25">
      <c r="A5" s="145" t="s">
        <v>152</v>
      </c>
      <c r="B5" s="151"/>
      <c r="C5" s="155">
        <v>19500</v>
      </c>
      <c r="D5" s="156">
        <v>6500</v>
      </c>
      <c r="E5" s="157">
        <v>15500</v>
      </c>
      <c r="F5" s="163"/>
      <c r="G5" s="163"/>
      <c r="H5" s="163"/>
      <c r="I5" s="163"/>
      <c r="J5" s="163"/>
      <c r="K5" s="163"/>
      <c r="L5" s="163"/>
      <c r="M5" s="163"/>
      <c r="N5" s="163"/>
      <c r="O5" s="163"/>
      <c r="P5" s="163"/>
      <c r="Q5" s="162"/>
      <c r="R5" s="158">
        <f t="shared" si="0"/>
        <v>0</v>
      </c>
      <c r="S5" s="160">
        <f>C5-R5</f>
        <v>19500</v>
      </c>
    </row>
    <row r="6" spans="1:29" x14ac:dyDescent="0.25">
      <c r="A6" s="145" t="s">
        <v>147</v>
      </c>
      <c r="B6" s="151" t="s">
        <v>157</v>
      </c>
      <c r="C6" s="155">
        <v>6000</v>
      </c>
      <c r="D6" s="156"/>
      <c r="E6" s="157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2"/>
      <c r="R6" s="158">
        <f t="shared" si="0"/>
        <v>0</v>
      </c>
      <c r="S6" s="160">
        <f>C6-R6</f>
        <v>6000</v>
      </c>
    </row>
    <row r="7" spans="1:29" x14ac:dyDescent="0.25">
      <c r="A7" s="145" t="s">
        <v>149</v>
      </c>
      <c r="B7" s="151" t="s">
        <v>157</v>
      </c>
      <c r="C7" s="155">
        <v>3600</v>
      </c>
      <c r="D7" s="156"/>
      <c r="E7" s="165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9">
        <v>3600</v>
      </c>
      <c r="R7" s="158">
        <f t="shared" si="0"/>
        <v>3600</v>
      </c>
      <c r="S7" s="160"/>
    </row>
    <row r="8" spans="1:29" x14ac:dyDescent="0.25">
      <c r="B8" s="152"/>
      <c r="C8" s="160"/>
      <c r="D8" s="164"/>
      <c r="E8" s="165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5"/>
      <c r="R8" s="164"/>
      <c r="S8" s="160"/>
    </row>
    <row r="9" spans="1:29" ht="15.75" thickBot="1" x14ac:dyDescent="0.3">
      <c r="A9" s="167" t="s">
        <v>94</v>
      </c>
      <c r="B9" s="167"/>
      <c r="C9" s="168"/>
      <c r="D9" s="169"/>
      <c r="E9" s="170"/>
      <c r="F9" s="169"/>
      <c r="G9" s="169"/>
      <c r="H9" s="169"/>
      <c r="I9" s="169"/>
      <c r="J9" s="169"/>
      <c r="K9" s="169"/>
      <c r="L9" s="169" t="s">
        <v>143</v>
      </c>
      <c r="M9" s="169"/>
      <c r="N9" s="169"/>
      <c r="O9" s="169"/>
      <c r="P9" s="169"/>
      <c r="Q9" s="170"/>
      <c r="R9" s="171">
        <f>R6+R7+R4</f>
        <v>3600</v>
      </c>
      <c r="S9" s="166"/>
      <c r="T9" s="146"/>
      <c r="U9" s="146"/>
      <c r="V9" s="146"/>
      <c r="W9" s="146"/>
      <c r="X9" s="146"/>
      <c r="Y9" s="146"/>
      <c r="Z9" s="146"/>
      <c r="AA9" s="146"/>
      <c r="AB9" s="146"/>
      <c r="AC9" s="146"/>
    </row>
    <row r="10" spans="1:29" ht="15.75" thickTop="1" x14ac:dyDescent="0.25"/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890BC-1E9C-4EF9-AA45-EA7C7B85D184}">
  <sheetPr>
    <pageSetUpPr fitToPage="1"/>
  </sheetPr>
  <dimension ref="A1:O36"/>
  <sheetViews>
    <sheetView zoomScale="70" zoomScaleNormal="70" zoomScaleSheetLayoutView="100" workbookViewId="0">
      <selection activeCell="B26" sqref="B26"/>
    </sheetView>
  </sheetViews>
  <sheetFormatPr defaultColWidth="12" defaultRowHeight="15.75" x14ac:dyDescent="0.25"/>
  <cols>
    <col min="1" max="1" width="28.140625" style="34" bestFit="1" customWidth="1"/>
    <col min="2" max="2" width="14.85546875" style="34" bestFit="1" customWidth="1"/>
    <col min="3" max="3" width="21.42578125" style="34" customWidth="1"/>
    <col min="4" max="4" width="12" style="34" customWidth="1"/>
    <col min="5" max="5" width="28.5703125" style="34" bestFit="1" customWidth="1"/>
    <col min="6" max="6" width="19.28515625" style="34" bestFit="1" customWidth="1"/>
    <col min="7" max="7" width="22" style="34" customWidth="1"/>
    <col min="8" max="8" width="26.7109375" style="34" bestFit="1" customWidth="1"/>
    <col min="9" max="9" width="13.28515625" style="34" bestFit="1" customWidth="1"/>
    <col min="10" max="10" width="14.85546875" style="34" bestFit="1" customWidth="1"/>
    <col min="11" max="11" width="19.28515625" style="34" bestFit="1" customWidth="1"/>
    <col min="12" max="12" width="12.5703125" style="34" customWidth="1"/>
    <col min="13" max="13" width="14.85546875" style="34" bestFit="1" customWidth="1"/>
    <col min="14" max="16384" width="12" style="34"/>
  </cols>
  <sheetData>
    <row r="1" spans="1:15" x14ac:dyDescent="0.25">
      <c r="A1" s="179" t="s">
        <v>87</v>
      </c>
      <c r="B1" s="180"/>
      <c r="C1" s="180"/>
      <c r="D1" s="181"/>
      <c r="E1" s="182" t="s">
        <v>86</v>
      </c>
      <c r="F1" s="183"/>
      <c r="G1" s="184" t="s">
        <v>144</v>
      </c>
      <c r="H1" s="182" t="s">
        <v>85</v>
      </c>
      <c r="O1" s="34" t="s">
        <v>89</v>
      </c>
    </row>
    <row r="2" spans="1:15" x14ac:dyDescent="0.25">
      <c r="A2" s="42" t="s">
        <v>84</v>
      </c>
      <c r="B2" s="186">
        <v>0</v>
      </c>
      <c r="D2" s="41"/>
      <c r="E2" s="41" t="s">
        <v>83</v>
      </c>
      <c r="F2" s="202"/>
      <c r="G2" s="201">
        <f>'Income Summary'!D2</f>
        <v>134521.79999999999</v>
      </c>
      <c r="H2" s="49"/>
    </row>
    <row r="3" spans="1:15" x14ac:dyDescent="0.25">
      <c r="A3" s="42" t="s">
        <v>82</v>
      </c>
      <c r="B3" s="186">
        <v>0</v>
      </c>
      <c r="D3" s="41"/>
      <c r="E3" s="41" t="s">
        <v>49</v>
      </c>
      <c r="F3" s="202"/>
      <c r="G3" s="201">
        <f>'Income Summary'!D6</f>
        <v>9149.9200000000037</v>
      </c>
      <c r="H3" s="49"/>
      <c r="I3" s="42"/>
    </row>
    <row r="4" spans="1:15" x14ac:dyDescent="0.25">
      <c r="A4" s="42" t="s">
        <v>81</v>
      </c>
      <c r="B4" s="186">
        <v>0</v>
      </c>
      <c r="D4" s="41"/>
      <c r="E4" s="41" t="s">
        <v>48</v>
      </c>
      <c r="F4" s="202"/>
      <c r="G4" s="201">
        <f>'Income Summary'!D7</f>
        <v>2139.880000000001</v>
      </c>
      <c r="H4" s="49"/>
      <c r="I4" s="42"/>
    </row>
    <row r="5" spans="1:15" x14ac:dyDescent="0.25">
      <c r="A5" s="42" t="s">
        <v>94</v>
      </c>
      <c r="B5" s="186">
        <f>'Account Management'!R9</f>
        <v>3600</v>
      </c>
      <c r="D5" s="41"/>
      <c r="E5" s="41" t="s">
        <v>80</v>
      </c>
      <c r="F5" s="202"/>
      <c r="G5" s="201">
        <f>'Income Summary'!D5</f>
        <v>16761.120000000006</v>
      </c>
      <c r="H5" s="49">
        <f>G5-B26</f>
        <v>2654.3036000000102</v>
      </c>
      <c r="I5" s="42"/>
    </row>
    <row r="6" spans="1:15" x14ac:dyDescent="0.25">
      <c r="A6" s="42" t="s">
        <v>79</v>
      </c>
      <c r="B6" s="186">
        <f>'PayCheck 1'!Z16</f>
        <v>3726.1800000000021</v>
      </c>
      <c r="D6" s="41"/>
      <c r="E6" s="41" t="s">
        <v>145</v>
      </c>
      <c r="F6" s="202"/>
      <c r="G6" s="201">
        <v>0</v>
      </c>
      <c r="H6" s="49">
        <f>IF(G6=0,0,G6-B27)</f>
        <v>0</v>
      </c>
      <c r="I6" s="42"/>
    </row>
    <row r="7" spans="1:15" x14ac:dyDescent="0.25">
      <c r="A7" s="42" t="s">
        <v>78</v>
      </c>
      <c r="B7" s="187">
        <f>'Personal Information'!D6</f>
        <v>1</v>
      </c>
      <c r="D7" s="41"/>
      <c r="E7" s="41"/>
      <c r="F7" s="41"/>
      <c r="G7" s="41"/>
      <c r="H7" s="57">
        <f>SUM(H5:H6)</f>
        <v>2654.3036000000102</v>
      </c>
      <c r="I7" s="42"/>
    </row>
    <row r="8" spans="1:15" x14ac:dyDescent="0.25">
      <c r="A8" s="42" t="s">
        <v>77</v>
      </c>
      <c r="B8" s="187">
        <f>'Personal Information'!D7</f>
        <v>0</v>
      </c>
      <c r="D8" s="41"/>
      <c r="E8" s="41"/>
      <c r="F8" s="41"/>
      <c r="G8" s="41"/>
      <c r="H8" s="42"/>
      <c r="I8" s="42"/>
    </row>
    <row r="9" spans="1:15" x14ac:dyDescent="0.25">
      <c r="D9" s="41"/>
      <c r="E9" s="39" t="s">
        <v>76</v>
      </c>
      <c r="F9" s="40"/>
      <c r="G9" s="40" t="s">
        <v>75</v>
      </c>
      <c r="H9" s="40" t="s">
        <v>74</v>
      </c>
      <c r="I9" s="40" t="str">
        <f>IF(H7&gt;0, "Refund", "You owe")</f>
        <v>Refund</v>
      </c>
    </row>
    <row r="10" spans="1:15" x14ac:dyDescent="0.25">
      <c r="A10" s="48" t="s">
        <v>73</v>
      </c>
      <c r="C10" s="41"/>
      <c r="D10" s="41"/>
      <c r="E10" s="39" t="s">
        <v>72</v>
      </c>
      <c r="F10" s="40" t="s">
        <v>71</v>
      </c>
      <c r="G10" s="42"/>
      <c r="H10" s="42"/>
      <c r="I10" s="42"/>
    </row>
    <row r="11" spans="1:15" ht="47.25" x14ac:dyDescent="0.25">
      <c r="A11" s="42" t="s">
        <v>65</v>
      </c>
      <c r="B11" s="41">
        <v>24800</v>
      </c>
      <c r="C11" s="56" t="s">
        <v>70</v>
      </c>
      <c r="D11" s="41"/>
      <c r="E11" s="97">
        <v>0</v>
      </c>
      <c r="F11" s="98">
        <v>19750</v>
      </c>
      <c r="G11" s="99">
        <v>0.1</v>
      </c>
      <c r="H11" s="100"/>
      <c r="I11" s="42"/>
      <c r="J11" s="97">
        <v>0</v>
      </c>
      <c r="K11" s="98">
        <v>9950</v>
      </c>
      <c r="L11" s="99">
        <v>0.1</v>
      </c>
      <c r="M11" s="100"/>
    </row>
    <row r="12" spans="1:15" x14ac:dyDescent="0.25">
      <c r="A12" s="55" t="s">
        <v>63</v>
      </c>
      <c r="B12" s="54">
        <v>0</v>
      </c>
      <c r="C12" s="45" t="s">
        <v>69</v>
      </c>
      <c r="D12" s="41"/>
      <c r="E12" s="101">
        <f t="shared" ref="E12:E17" si="0">F11+1</f>
        <v>19751</v>
      </c>
      <c r="F12" s="102">
        <v>80250</v>
      </c>
      <c r="G12" s="103">
        <v>0.12</v>
      </c>
      <c r="H12" s="104">
        <f>CEILING((F11-E11)*G11+H11,0.5)</f>
        <v>1975</v>
      </c>
      <c r="I12" s="42"/>
      <c r="J12" s="101">
        <f t="shared" ref="J12:J17" si="1">K11+1</f>
        <v>9951</v>
      </c>
      <c r="K12" s="102">
        <v>40525</v>
      </c>
      <c r="L12" s="103">
        <v>0.12</v>
      </c>
      <c r="M12" s="104">
        <f>CEILING((K11-J11)*L11+M11,0.5)</f>
        <v>995</v>
      </c>
    </row>
    <row r="13" spans="1:15" x14ac:dyDescent="0.25">
      <c r="A13" s="34" t="s">
        <v>68</v>
      </c>
      <c r="B13" s="41">
        <v>2000</v>
      </c>
      <c r="C13" s="41"/>
      <c r="D13" s="41"/>
      <c r="E13" s="101">
        <f t="shared" si="0"/>
        <v>80251</v>
      </c>
      <c r="F13" s="102">
        <v>171050</v>
      </c>
      <c r="G13" s="103">
        <v>0.22</v>
      </c>
      <c r="H13" s="104">
        <f>CEILING((F12-E12)*G12+H12,0.5)</f>
        <v>9235</v>
      </c>
      <c r="I13" s="42"/>
      <c r="J13" s="101">
        <f t="shared" si="1"/>
        <v>40526</v>
      </c>
      <c r="K13" s="102">
        <v>86375</v>
      </c>
      <c r="L13" s="103">
        <v>0.22</v>
      </c>
      <c r="M13" s="104">
        <f>CEILING((K12-J12)*L12+M12,0.5)</f>
        <v>4664</v>
      </c>
    </row>
    <row r="14" spans="1:15" x14ac:dyDescent="0.25">
      <c r="A14" s="48" t="s">
        <v>67</v>
      </c>
      <c r="B14" s="53">
        <f>IF(SUM(B2:B4)&gt;B11,SUM(B2:B4),B11)</f>
        <v>24800</v>
      </c>
      <c r="C14" s="41"/>
      <c r="D14" s="41"/>
      <c r="E14" s="101">
        <f t="shared" si="0"/>
        <v>171051</v>
      </c>
      <c r="F14" s="102">
        <v>326600</v>
      </c>
      <c r="G14" s="103">
        <v>0.24</v>
      </c>
      <c r="H14" s="104">
        <f>CEILING((F13-E13)*G13+H13,0.5)</f>
        <v>29211</v>
      </c>
      <c r="I14" s="42"/>
      <c r="J14" s="101">
        <f t="shared" si="1"/>
        <v>86376</v>
      </c>
      <c r="K14" s="102">
        <v>164925</v>
      </c>
      <c r="L14" s="103">
        <v>0.24</v>
      </c>
      <c r="M14" s="104">
        <f>CEILING((K13-J13)*L13+M13,0.5)</f>
        <v>14751</v>
      </c>
    </row>
    <row r="15" spans="1:15" x14ac:dyDescent="0.25">
      <c r="D15" s="41"/>
      <c r="E15" s="101">
        <f t="shared" si="0"/>
        <v>326601</v>
      </c>
      <c r="F15" s="102">
        <v>414700</v>
      </c>
      <c r="G15" s="103">
        <v>0.32</v>
      </c>
      <c r="H15" s="104">
        <f>CEILING((F14-E14)*G14+H14,0.5)</f>
        <v>66543</v>
      </c>
      <c r="I15" s="42"/>
      <c r="J15" s="101">
        <f t="shared" si="1"/>
        <v>164926</v>
      </c>
      <c r="K15" s="102">
        <v>209425</v>
      </c>
      <c r="L15" s="103">
        <v>0.32</v>
      </c>
      <c r="M15" s="104">
        <f>CEILING((K14-J14)*L14+M14,0.5)</f>
        <v>33603</v>
      </c>
    </row>
    <row r="16" spans="1:15" x14ac:dyDescent="0.25">
      <c r="A16" s="48" t="s">
        <v>66</v>
      </c>
      <c r="B16" s="52"/>
      <c r="C16" s="41"/>
      <c r="D16" s="41"/>
      <c r="E16" s="101">
        <f t="shared" si="0"/>
        <v>414701</v>
      </c>
      <c r="F16" s="102">
        <v>622050</v>
      </c>
      <c r="G16" s="103">
        <v>0.35</v>
      </c>
      <c r="H16" s="104">
        <f t="shared" ref="H16:H17" si="2">CEILING((F15-E15)*G15+H15,0.5)</f>
        <v>94735</v>
      </c>
      <c r="I16" s="42"/>
      <c r="J16" s="101">
        <f t="shared" si="1"/>
        <v>209426</v>
      </c>
      <c r="K16" s="102">
        <v>523600</v>
      </c>
      <c r="L16" s="103">
        <v>0.35</v>
      </c>
      <c r="M16" s="104">
        <f t="shared" ref="M16:M17" si="3">CEILING((K15-J15)*L15+M15,0.5)</f>
        <v>47843</v>
      </c>
    </row>
    <row r="17" spans="1:13" ht="22.5" x14ac:dyDescent="0.25">
      <c r="A17" s="34" t="s">
        <v>65</v>
      </c>
      <c r="B17" s="94">
        <v>0</v>
      </c>
      <c r="C17" s="45" t="s">
        <v>64</v>
      </c>
      <c r="D17" s="41"/>
      <c r="E17" s="105">
        <f t="shared" si="0"/>
        <v>622051</v>
      </c>
      <c r="F17" s="91">
        <v>100000000</v>
      </c>
      <c r="G17" s="106">
        <v>0.37</v>
      </c>
      <c r="H17" s="107">
        <f t="shared" si="2"/>
        <v>167307.5</v>
      </c>
      <c r="I17" s="42"/>
      <c r="J17" s="105">
        <f t="shared" si="1"/>
        <v>523601</v>
      </c>
      <c r="K17" s="91">
        <v>100000000</v>
      </c>
      <c r="L17" s="106">
        <v>0.37</v>
      </c>
      <c r="M17" s="107">
        <f t="shared" si="3"/>
        <v>157804</v>
      </c>
    </row>
    <row r="18" spans="1:13" ht="45" x14ac:dyDescent="0.25">
      <c r="A18" s="34" t="s">
        <v>63</v>
      </c>
      <c r="B18" s="95">
        <v>0</v>
      </c>
      <c r="C18" s="45" t="s">
        <v>62</v>
      </c>
      <c r="D18" s="41"/>
      <c r="E18" s="45" t="s">
        <v>61</v>
      </c>
      <c r="F18" s="51" t="s">
        <v>60</v>
      </c>
      <c r="G18" s="50"/>
      <c r="H18" s="49"/>
      <c r="I18" s="42"/>
    </row>
    <row r="19" spans="1:13" x14ac:dyDescent="0.25">
      <c r="A19" s="34" t="s">
        <v>59</v>
      </c>
      <c r="B19" s="96">
        <v>0</v>
      </c>
      <c r="C19" s="41"/>
      <c r="D19" s="41"/>
      <c r="E19" s="49"/>
      <c r="F19" s="49"/>
      <c r="G19" s="50"/>
      <c r="H19" s="49"/>
      <c r="I19" s="42"/>
    </row>
    <row r="20" spans="1:13" x14ac:dyDescent="0.25">
      <c r="A20" s="48" t="s">
        <v>58</v>
      </c>
      <c r="B20" s="47">
        <f>IF(B2&gt;B17,B2,B17)+B19*B8+B18</f>
        <v>0</v>
      </c>
      <c r="D20" s="41"/>
      <c r="E20" s="82">
        <v>0</v>
      </c>
      <c r="F20" s="83">
        <v>1000</v>
      </c>
      <c r="G20" s="84">
        <v>0.01</v>
      </c>
      <c r="H20" s="85"/>
      <c r="I20" s="42"/>
    </row>
    <row r="21" spans="1:13" x14ac:dyDescent="0.25">
      <c r="C21" s="41"/>
      <c r="D21" s="41"/>
      <c r="E21" s="86">
        <v>1001</v>
      </c>
      <c r="F21" s="87">
        <v>3000</v>
      </c>
      <c r="G21" s="88">
        <v>0.02</v>
      </c>
      <c r="H21" s="89">
        <f>F20*G20+H20</f>
        <v>10</v>
      </c>
      <c r="I21" s="42"/>
    </row>
    <row r="22" spans="1:13" x14ac:dyDescent="0.25">
      <c r="A22" s="149" t="s">
        <v>57</v>
      </c>
      <c r="B22" s="150">
        <f>G2</f>
        <v>134521.79999999999</v>
      </c>
      <c r="C22" s="41"/>
      <c r="D22" s="37"/>
      <c r="E22" s="86">
        <v>3001</v>
      </c>
      <c r="F22" s="87">
        <v>5000</v>
      </c>
      <c r="G22" s="88">
        <v>0.03</v>
      </c>
      <c r="H22" s="89">
        <f>(F21-F20)*G21+H21</f>
        <v>50</v>
      </c>
      <c r="I22" s="42"/>
    </row>
    <row r="23" spans="1:13" x14ac:dyDescent="0.25">
      <c r="A23" s="34" t="s">
        <v>56</v>
      </c>
      <c r="B23" s="141">
        <f>B22-B5-B6</f>
        <v>127195.61999999998</v>
      </c>
      <c r="C23" s="41"/>
      <c r="D23" s="37"/>
      <c r="E23" s="86">
        <v>5001</v>
      </c>
      <c r="F23" s="87">
        <v>7000</v>
      </c>
      <c r="G23" s="88">
        <v>0.04</v>
      </c>
      <c r="H23" s="89">
        <f>(F22-F21)*G22+H22</f>
        <v>110</v>
      </c>
      <c r="I23" s="42"/>
    </row>
    <row r="24" spans="1:13" x14ac:dyDescent="0.25">
      <c r="A24" s="42" t="s">
        <v>55</v>
      </c>
      <c r="B24" s="140">
        <f>B23-B14</f>
        <v>102395.61999999998</v>
      </c>
      <c r="C24" s="41"/>
      <c r="E24" s="86">
        <v>7001</v>
      </c>
      <c r="F24" s="87">
        <v>10000</v>
      </c>
      <c r="G24" s="88">
        <v>0.05</v>
      </c>
      <c r="H24" s="89">
        <f>(F23-F22)*G23+H23</f>
        <v>190</v>
      </c>
      <c r="I24" s="46"/>
    </row>
    <row r="25" spans="1:13" x14ac:dyDescent="0.25">
      <c r="A25" s="42" t="s">
        <v>54</v>
      </c>
      <c r="B25" s="140">
        <f>B23-B20</f>
        <v>127195.61999999998</v>
      </c>
      <c r="C25" s="41"/>
      <c r="E25" s="90">
        <v>10001</v>
      </c>
      <c r="F25" s="91">
        <v>100000000</v>
      </c>
      <c r="G25" s="92">
        <v>5.5E-2</v>
      </c>
      <c r="H25" s="93">
        <f>(F24-F23)*G24+H24</f>
        <v>340</v>
      </c>
      <c r="I25" s="42"/>
    </row>
    <row r="26" spans="1:13" ht="22.5" x14ac:dyDescent="0.25">
      <c r="A26" s="42" t="s">
        <v>53</v>
      </c>
      <c r="B26" s="140">
        <f>VLOOKUP(TaxableIncome,FederalTaxTable,4)+(TaxableIncome-VLOOKUP(TaxableIncome,FederalTaxTable,1))*VLOOKUP(TaxableIncome,FederalTaxTable,3)</f>
        <v>14106.816399999996</v>
      </c>
      <c r="C26" s="41"/>
      <c r="E26" s="45" t="s">
        <v>52</v>
      </c>
      <c r="F26" s="44" t="s">
        <v>51</v>
      </c>
      <c r="G26" s="43"/>
    </row>
    <row r="27" spans="1:13" x14ac:dyDescent="0.25">
      <c r="A27" s="42" t="s">
        <v>50</v>
      </c>
      <c r="B27" s="140">
        <f>VLOOKUP(TaxableIncomeState,StateTaxTable,4)+(TaxableIncomeState-VLOOKUP(TaxableIncomeState,StateTaxTable,1))*VLOOKUP(TaxableIncomeState,StateTaxTable,3)</f>
        <v>6785.704099999999</v>
      </c>
      <c r="C27" s="41"/>
    </row>
    <row r="28" spans="1:13" x14ac:dyDescent="0.25">
      <c r="A28" s="42" t="s">
        <v>49</v>
      </c>
      <c r="B28" s="140">
        <f>IF(B22&gt;137700,137700*0.062, B22*0.062)</f>
        <v>8340.3516</v>
      </c>
      <c r="C28" s="41"/>
      <c r="E28" s="38"/>
      <c r="F28" s="38"/>
      <c r="G28" s="43"/>
    </row>
    <row r="29" spans="1:13" x14ac:dyDescent="0.25">
      <c r="A29" s="42" t="s">
        <v>48</v>
      </c>
      <c r="B29" s="140">
        <f>B22*0.0145</f>
        <v>1950.5661</v>
      </c>
      <c r="C29" s="41"/>
      <c r="E29" s="38"/>
      <c r="F29" s="38"/>
      <c r="G29" s="43"/>
    </row>
    <row r="30" spans="1:13" x14ac:dyDescent="0.25">
      <c r="A30" s="42" t="s">
        <v>47</v>
      </c>
      <c r="B30" s="140">
        <f>2000*B7</f>
        <v>2000</v>
      </c>
      <c r="C30" s="41"/>
      <c r="E30" s="38"/>
      <c r="F30" s="38"/>
    </row>
    <row r="31" spans="1:13" x14ac:dyDescent="0.25">
      <c r="A31" s="40" t="s">
        <v>46</v>
      </c>
      <c r="B31" s="142">
        <f>SUM(B26:B29)-B30</f>
        <v>29183.438199999993</v>
      </c>
      <c r="C31" s="37"/>
      <c r="E31" s="38"/>
      <c r="F31" s="38"/>
    </row>
    <row r="32" spans="1:13" x14ac:dyDescent="0.25">
      <c r="C32" s="37"/>
    </row>
    <row r="33" spans="1:5" x14ac:dyDescent="0.25">
      <c r="A33" s="36" t="s">
        <v>45</v>
      </c>
      <c r="B33" s="203">
        <f>B26/TaxableIncome</f>
        <v>0.13776777170742263</v>
      </c>
    </row>
    <row r="34" spans="1:5" x14ac:dyDescent="0.25">
      <c r="A34" s="36" t="s">
        <v>44</v>
      </c>
      <c r="B34" s="35">
        <f>100/B24*B27</f>
        <v>6.6269476174859827</v>
      </c>
    </row>
    <row r="36" spans="1:5" x14ac:dyDescent="0.25">
      <c r="E36" s="213">
        <f>B26/24</f>
        <v>587.7840166666665</v>
      </c>
    </row>
  </sheetData>
  <hyperlinks>
    <hyperlink ref="F26" r:id="rId1" xr:uid="{BBD4A80B-545A-4EA5-A791-16D36FE9F626}"/>
    <hyperlink ref="F18" r:id="rId2" xr:uid="{266191E0-EBAE-4523-8862-F5416E7E0592}"/>
  </hyperlinks>
  <pageMargins left="0.75" right="0.75" top="1" bottom="1" header="0.5" footer="0.5"/>
  <pageSetup scale="51" orientation="portrait" horizontalDpi="4294967292" verticalDpi="4294967292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50E36-52AF-41F0-A3D8-876BCC321523}">
  <sheetPr>
    <pageSetUpPr fitToPage="1"/>
  </sheetPr>
  <dimension ref="A1:O34"/>
  <sheetViews>
    <sheetView tabSelected="1" zoomScale="70" zoomScaleNormal="70" zoomScaleSheetLayoutView="100" workbookViewId="0">
      <selection activeCell="C27" sqref="C27"/>
    </sheetView>
  </sheetViews>
  <sheetFormatPr defaultColWidth="12" defaultRowHeight="15.75" x14ac:dyDescent="0.25"/>
  <cols>
    <col min="1" max="1" width="28.140625" style="34" bestFit="1" customWidth="1"/>
    <col min="2" max="2" width="14.85546875" style="34" bestFit="1" customWidth="1"/>
    <col min="3" max="3" width="21.42578125" style="34" customWidth="1"/>
    <col min="4" max="4" width="12" style="34" customWidth="1"/>
    <col min="5" max="5" width="28.5703125" style="34" bestFit="1" customWidth="1"/>
    <col min="6" max="6" width="19.28515625" style="34" bestFit="1" customWidth="1"/>
    <col min="7" max="7" width="22" style="34" customWidth="1"/>
    <col min="8" max="8" width="26.7109375" style="34" bestFit="1" customWidth="1"/>
    <col min="9" max="9" width="13.28515625" style="34" bestFit="1" customWidth="1"/>
    <col min="10" max="10" width="14.85546875" style="34" bestFit="1" customWidth="1"/>
    <col min="11" max="11" width="19.28515625" style="34" bestFit="1" customWidth="1"/>
    <col min="12" max="12" width="12.5703125" style="34" customWidth="1"/>
    <col min="13" max="13" width="14.85546875" style="34" bestFit="1" customWidth="1"/>
    <col min="14" max="16384" width="12" style="34"/>
  </cols>
  <sheetData>
    <row r="1" spans="1:15" x14ac:dyDescent="0.25">
      <c r="A1" s="179" t="s">
        <v>87</v>
      </c>
      <c r="B1" s="180"/>
      <c r="C1" s="180"/>
      <c r="D1" s="181"/>
      <c r="E1" s="182" t="s">
        <v>86</v>
      </c>
      <c r="F1" s="183"/>
      <c r="G1" s="184" t="s">
        <v>144</v>
      </c>
      <c r="H1" s="182" t="s">
        <v>85</v>
      </c>
      <c r="O1" s="34" t="s">
        <v>89</v>
      </c>
    </row>
    <row r="2" spans="1:15" x14ac:dyDescent="0.25">
      <c r="A2" s="42" t="s">
        <v>84</v>
      </c>
      <c r="B2" s="186">
        <v>0</v>
      </c>
      <c r="D2" s="41"/>
      <c r="E2" s="41" t="s">
        <v>83</v>
      </c>
      <c r="F2" s="202"/>
      <c r="G2" s="201">
        <v>60000</v>
      </c>
      <c r="H2" s="49"/>
    </row>
    <row r="3" spans="1:15" x14ac:dyDescent="0.25">
      <c r="A3" s="42" t="s">
        <v>82</v>
      </c>
      <c r="B3" s="186">
        <v>0</v>
      </c>
      <c r="D3" s="41"/>
      <c r="E3" s="41" t="s">
        <v>49</v>
      </c>
      <c r="F3" s="202"/>
      <c r="G3" s="201">
        <f>'Income Summary'!D6</f>
        <v>9149.9200000000037</v>
      </c>
      <c r="H3" s="49"/>
      <c r="I3" s="42"/>
    </row>
    <row r="4" spans="1:15" x14ac:dyDescent="0.25">
      <c r="A4" s="42" t="s">
        <v>81</v>
      </c>
      <c r="B4" s="186">
        <v>0</v>
      </c>
      <c r="D4" s="41"/>
      <c r="E4" s="41" t="s">
        <v>48</v>
      </c>
      <c r="F4" s="202"/>
      <c r="G4" s="201">
        <f>'Income Summary'!D7</f>
        <v>2139.880000000001</v>
      </c>
      <c r="H4" s="49"/>
      <c r="I4" s="42"/>
    </row>
    <row r="5" spans="1:15" x14ac:dyDescent="0.25">
      <c r="A5" s="42" t="s">
        <v>94</v>
      </c>
      <c r="B5" s="186">
        <v>0</v>
      </c>
      <c r="D5" s="41"/>
      <c r="E5" s="41" t="s">
        <v>80</v>
      </c>
      <c r="F5" s="202"/>
      <c r="G5" s="201">
        <f>'Income Summary'!D5</f>
        <v>16761.120000000006</v>
      </c>
      <c r="H5" s="49">
        <f>G5-B26</f>
        <v>10540.840000000007</v>
      </c>
      <c r="I5" s="42"/>
    </row>
    <row r="6" spans="1:15" x14ac:dyDescent="0.25">
      <c r="A6" s="42" t="s">
        <v>79</v>
      </c>
      <c r="B6" s="186">
        <v>0</v>
      </c>
      <c r="D6" s="41"/>
      <c r="E6" s="41" t="s">
        <v>145</v>
      </c>
      <c r="F6" s="202"/>
      <c r="G6" s="201">
        <v>0</v>
      </c>
      <c r="H6" s="49">
        <f>IF(G6=0,0,G6-B27)</f>
        <v>0</v>
      </c>
      <c r="I6" s="42"/>
    </row>
    <row r="7" spans="1:15" x14ac:dyDescent="0.25">
      <c r="A7" s="42" t="s">
        <v>78</v>
      </c>
      <c r="B7" s="187">
        <f>'Personal Information'!D6</f>
        <v>1</v>
      </c>
      <c r="D7" s="41"/>
      <c r="E7" s="41"/>
      <c r="F7" s="41"/>
      <c r="G7" s="41"/>
      <c r="H7" s="57">
        <f>SUM(H5:H6)</f>
        <v>10540.840000000007</v>
      </c>
      <c r="I7" s="42"/>
    </row>
    <row r="8" spans="1:15" x14ac:dyDescent="0.25">
      <c r="A8" s="42" t="s">
        <v>77</v>
      </c>
      <c r="B8" s="187">
        <f>'Personal Information'!D7</f>
        <v>0</v>
      </c>
      <c r="D8" s="41"/>
      <c r="E8" s="41"/>
      <c r="F8" s="41"/>
      <c r="G8" s="41"/>
      <c r="H8" s="42"/>
      <c r="I8" s="42"/>
    </row>
    <row r="9" spans="1:15" x14ac:dyDescent="0.25">
      <c r="D9" s="41"/>
      <c r="E9" s="39" t="s">
        <v>76</v>
      </c>
      <c r="F9" s="40"/>
      <c r="G9" s="40" t="s">
        <v>75</v>
      </c>
      <c r="H9" s="40" t="s">
        <v>74</v>
      </c>
      <c r="I9" s="40" t="str">
        <f>IF(H7&gt;0, "Refund", "You owe")</f>
        <v>Refund</v>
      </c>
    </row>
    <row r="10" spans="1:15" x14ac:dyDescent="0.25">
      <c r="A10" s="48" t="s">
        <v>73</v>
      </c>
      <c r="C10" s="41"/>
      <c r="D10" s="41"/>
      <c r="E10" s="39" t="s">
        <v>72</v>
      </c>
      <c r="F10" s="40" t="s">
        <v>71</v>
      </c>
      <c r="G10" s="42"/>
      <c r="H10" s="42"/>
      <c r="I10" s="42"/>
    </row>
    <row r="11" spans="1:15" ht="47.25" x14ac:dyDescent="0.25">
      <c r="A11" s="42" t="s">
        <v>65</v>
      </c>
      <c r="B11" s="41">
        <v>24800</v>
      </c>
      <c r="C11" s="56" t="s">
        <v>70</v>
      </c>
      <c r="D11" s="41"/>
      <c r="E11" s="97">
        <v>0</v>
      </c>
      <c r="F11" s="98">
        <v>9950</v>
      </c>
      <c r="G11" s="99">
        <v>0.1</v>
      </c>
      <c r="H11" s="100"/>
      <c r="I11" s="42"/>
      <c r="J11" s="97">
        <v>0</v>
      </c>
      <c r="K11" s="98">
        <v>9950</v>
      </c>
      <c r="L11" s="99">
        <v>0.1</v>
      </c>
      <c r="M11" s="100"/>
    </row>
    <row r="12" spans="1:15" x14ac:dyDescent="0.25">
      <c r="A12" s="55" t="s">
        <v>63</v>
      </c>
      <c r="B12" s="54">
        <v>0</v>
      </c>
      <c r="C12" s="45" t="s">
        <v>69</v>
      </c>
      <c r="D12" s="41"/>
      <c r="E12" s="101">
        <f t="shared" ref="E12:E17" si="0">F11+1</f>
        <v>9951</v>
      </c>
      <c r="F12" s="102">
        <v>40525</v>
      </c>
      <c r="G12" s="103">
        <v>0.12</v>
      </c>
      <c r="H12" s="104">
        <f>CEILING((F11-E11)*G11+H11,0.5)</f>
        <v>995</v>
      </c>
      <c r="I12" s="42"/>
      <c r="J12" s="101">
        <f t="shared" ref="J12:J17" si="1">K11+1</f>
        <v>9951</v>
      </c>
      <c r="K12" s="102">
        <v>40525</v>
      </c>
      <c r="L12" s="103">
        <v>0.12</v>
      </c>
      <c r="M12" s="104">
        <f>CEILING((K11-J11)*L11+M11,0.5)</f>
        <v>995</v>
      </c>
    </row>
    <row r="13" spans="1:15" x14ac:dyDescent="0.25">
      <c r="A13" s="34" t="s">
        <v>68</v>
      </c>
      <c r="B13" s="41">
        <v>2000</v>
      </c>
      <c r="C13" s="41"/>
      <c r="D13" s="41"/>
      <c r="E13" s="101">
        <f t="shared" si="0"/>
        <v>40526</v>
      </c>
      <c r="F13" s="102">
        <v>86375</v>
      </c>
      <c r="G13" s="103">
        <v>0.22</v>
      </c>
      <c r="H13" s="104">
        <f>CEILING((F12-E12)*G12+H12,0.5)</f>
        <v>4664</v>
      </c>
      <c r="I13" s="42"/>
      <c r="J13" s="101">
        <f t="shared" si="1"/>
        <v>40526</v>
      </c>
      <c r="K13" s="102">
        <v>86375</v>
      </c>
      <c r="L13" s="103">
        <v>0.22</v>
      </c>
      <c r="M13" s="104">
        <f>CEILING((K12-J12)*L12+M12,0.5)</f>
        <v>4664</v>
      </c>
    </row>
    <row r="14" spans="1:15" x14ac:dyDescent="0.25">
      <c r="A14" s="48" t="s">
        <v>67</v>
      </c>
      <c r="B14" s="53">
        <v>12400</v>
      </c>
      <c r="C14" s="41"/>
      <c r="D14" s="41"/>
      <c r="E14" s="101">
        <f t="shared" si="0"/>
        <v>86376</v>
      </c>
      <c r="F14" s="102">
        <v>164925</v>
      </c>
      <c r="G14" s="103">
        <v>0.24</v>
      </c>
      <c r="H14" s="104">
        <f>CEILING((F13-E13)*G13+H13,0.5)</f>
        <v>14751</v>
      </c>
      <c r="I14" s="42"/>
      <c r="J14" s="101">
        <f t="shared" si="1"/>
        <v>86376</v>
      </c>
      <c r="K14" s="102">
        <v>164925</v>
      </c>
      <c r="L14" s="103">
        <v>0.24</v>
      </c>
      <c r="M14" s="104">
        <f>CEILING((K13-J13)*L13+M13,0.5)</f>
        <v>14751</v>
      </c>
    </row>
    <row r="15" spans="1:15" x14ac:dyDescent="0.25">
      <c r="D15" s="41"/>
      <c r="E15" s="101">
        <f t="shared" si="0"/>
        <v>164926</v>
      </c>
      <c r="F15" s="102">
        <v>209425</v>
      </c>
      <c r="G15" s="103">
        <v>0.32</v>
      </c>
      <c r="H15" s="104">
        <f>CEILING((F14-E14)*G14+H14,0.5)</f>
        <v>33603</v>
      </c>
      <c r="I15" s="42"/>
      <c r="J15" s="101">
        <f t="shared" si="1"/>
        <v>164926</v>
      </c>
      <c r="K15" s="102">
        <v>209425</v>
      </c>
      <c r="L15" s="103">
        <v>0.32</v>
      </c>
      <c r="M15" s="104">
        <f>CEILING((K14-J14)*L14+M14,0.5)</f>
        <v>33603</v>
      </c>
    </row>
    <row r="16" spans="1:15" x14ac:dyDescent="0.25">
      <c r="A16" s="48" t="s">
        <v>66</v>
      </c>
      <c r="B16" s="52"/>
      <c r="C16" s="41"/>
      <c r="D16" s="41"/>
      <c r="E16" s="101">
        <f t="shared" si="0"/>
        <v>209426</v>
      </c>
      <c r="F16" s="102">
        <v>523600</v>
      </c>
      <c r="G16" s="103">
        <v>0.35</v>
      </c>
      <c r="H16" s="104">
        <f t="shared" ref="H16:H17" si="2">CEILING((F15-E15)*G15+H15,0.5)</f>
        <v>47843</v>
      </c>
      <c r="I16" s="42"/>
      <c r="J16" s="101">
        <f t="shared" si="1"/>
        <v>209426</v>
      </c>
      <c r="K16" s="102">
        <v>523600</v>
      </c>
      <c r="L16" s="103">
        <v>0.35</v>
      </c>
      <c r="M16" s="104">
        <f t="shared" ref="M16:M17" si="3">CEILING((K15-J15)*L15+M15,0.5)</f>
        <v>47843</v>
      </c>
    </row>
    <row r="17" spans="1:13" ht="22.5" x14ac:dyDescent="0.25">
      <c r="A17" s="34" t="s">
        <v>65</v>
      </c>
      <c r="B17" s="94">
        <v>0</v>
      </c>
      <c r="C17" s="45" t="s">
        <v>64</v>
      </c>
      <c r="D17" s="41"/>
      <c r="E17" s="105">
        <f t="shared" si="0"/>
        <v>523601</v>
      </c>
      <c r="F17" s="91">
        <v>100000000</v>
      </c>
      <c r="G17" s="106">
        <v>0.37</v>
      </c>
      <c r="H17" s="107">
        <f t="shared" si="2"/>
        <v>157804</v>
      </c>
      <c r="I17" s="42"/>
      <c r="J17" s="105">
        <f t="shared" si="1"/>
        <v>523601</v>
      </c>
      <c r="K17" s="91">
        <v>100000000</v>
      </c>
      <c r="L17" s="106">
        <v>0.37</v>
      </c>
      <c r="M17" s="107">
        <f t="shared" si="3"/>
        <v>157804</v>
      </c>
    </row>
    <row r="18" spans="1:13" ht="45" x14ac:dyDescent="0.25">
      <c r="A18" s="34" t="s">
        <v>63</v>
      </c>
      <c r="B18" s="95">
        <v>0</v>
      </c>
      <c r="C18" s="45" t="s">
        <v>62</v>
      </c>
      <c r="D18" s="41"/>
      <c r="E18" s="45" t="s">
        <v>61</v>
      </c>
      <c r="F18" s="51" t="s">
        <v>60</v>
      </c>
      <c r="G18" s="50"/>
      <c r="H18" s="49"/>
      <c r="I18" s="42"/>
    </row>
    <row r="19" spans="1:13" x14ac:dyDescent="0.25">
      <c r="A19" s="34" t="s">
        <v>59</v>
      </c>
      <c r="B19" s="96">
        <v>0</v>
      </c>
      <c r="C19" s="41"/>
      <c r="D19" s="41"/>
      <c r="E19" s="49"/>
      <c r="F19" s="49"/>
      <c r="G19" s="50"/>
      <c r="H19" s="49"/>
      <c r="I19" s="42"/>
    </row>
    <row r="20" spans="1:13" x14ac:dyDescent="0.25">
      <c r="A20" s="48" t="s">
        <v>58</v>
      </c>
      <c r="B20" s="47">
        <f>IF(B2&gt;B17,B2,B17)+B19*B8+B18</f>
        <v>0</v>
      </c>
      <c r="D20" s="41"/>
      <c r="E20" s="82">
        <v>0</v>
      </c>
      <c r="F20" s="83">
        <v>1000</v>
      </c>
      <c r="G20" s="84">
        <v>0.01</v>
      </c>
      <c r="H20" s="85"/>
      <c r="I20" s="42"/>
      <c r="J20" s="97">
        <v>0</v>
      </c>
      <c r="K20" s="98">
        <v>19750</v>
      </c>
      <c r="L20" s="99">
        <v>0.1</v>
      </c>
      <c r="M20" s="100"/>
    </row>
    <row r="21" spans="1:13" x14ac:dyDescent="0.25">
      <c r="C21" s="41"/>
      <c r="D21" s="41"/>
      <c r="E21" s="86">
        <v>1001</v>
      </c>
      <c r="F21" s="87">
        <v>3000</v>
      </c>
      <c r="G21" s="88">
        <v>0.02</v>
      </c>
      <c r="H21" s="89">
        <f>F20*G20+H20</f>
        <v>10</v>
      </c>
      <c r="I21" s="42"/>
      <c r="J21" s="101">
        <f t="shared" ref="J21:J26" si="4">K20+1</f>
        <v>19751</v>
      </c>
      <c r="K21" s="102">
        <v>80250</v>
      </c>
      <c r="L21" s="103">
        <v>0.12</v>
      </c>
      <c r="M21" s="104">
        <f>CEILING((K20-J20)*L20+M20,0.5)</f>
        <v>1975</v>
      </c>
    </row>
    <row r="22" spans="1:13" x14ac:dyDescent="0.25">
      <c r="A22" s="149" t="s">
        <v>57</v>
      </c>
      <c r="B22" s="150">
        <f>G2</f>
        <v>60000</v>
      </c>
      <c r="C22" s="41"/>
      <c r="D22" s="37"/>
      <c r="E22" s="86">
        <v>3001</v>
      </c>
      <c r="F22" s="87">
        <v>5000</v>
      </c>
      <c r="G22" s="88">
        <v>0.03</v>
      </c>
      <c r="H22" s="89">
        <f>(F21-F20)*G21+H21</f>
        <v>50</v>
      </c>
      <c r="I22" s="42"/>
      <c r="J22" s="101">
        <f t="shared" si="4"/>
        <v>80251</v>
      </c>
      <c r="K22" s="102">
        <v>171050</v>
      </c>
      <c r="L22" s="103">
        <v>0.22</v>
      </c>
      <c r="M22" s="104">
        <f>CEILING((K21-J21)*L21+M21,0.5)</f>
        <v>9235</v>
      </c>
    </row>
    <row r="23" spans="1:13" x14ac:dyDescent="0.25">
      <c r="A23" s="34" t="s">
        <v>56</v>
      </c>
      <c r="B23" s="141">
        <f>B22-B5-B6</f>
        <v>60000</v>
      </c>
      <c r="C23" s="41"/>
      <c r="D23" s="37"/>
      <c r="E23" s="86">
        <v>5001</v>
      </c>
      <c r="F23" s="87">
        <v>7000</v>
      </c>
      <c r="G23" s="88">
        <v>0.04</v>
      </c>
      <c r="H23" s="89">
        <f>(F22-F21)*G22+H22</f>
        <v>110</v>
      </c>
      <c r="I23" s="42"/>
      <c r="J23" s="101">
        <f t="shared" si="4"/>
        <v>171051</v>
      </c>
      <c r="K23" s="102">
        <v>326600</v>
      </c>
      <c r="L23" s="103">
        <v>0.24</v>
      </c>
      <c r="M23" s="104">
        <f>CEILING((K22-J22)*L22+M22,0.5)</f>
        <v>29211</v>
      </c>
    </row>
    <row r="24" spans="1:13" x14ac:dyDescent="0.25">
      <c r="A24" s="42" t="s">
        <v>55</v>
      </c>
      <c r="B24" s="140">
        <f>B23-B14</f>
        <v>47600</v>
      </c>
      <c r="C24" s="41"/>
      <c r="E24" s="86">
        <v>7001</v>
      </c>
      <c r="F24" s="87">
        <v>10000</v>
      </c>
      <c r="G24" s="88">
        <v>0.05</v>
      </c>
      <c r="H24" s="89">
        <f>(F23-F22)*G23+H23</f>
        <v>190</v>
      </c>
      <c r="I24" s="46"/>
      <c r="J24" s="101">
        <f t="shared" si="4"/>
        <v>326601</v>
      </c>
      <c r="K24" s="102">
        <v>414700</v>
      </c>
      <c r="L24" s="103">
        <v>0.32</v>
      </c>
      <c r="M24" s="104">
        <f>CEILING((K23-J23)*L23+M23,0.5)</f>
        <v>66543</v>
      </c>
    </row>
    <row r="25" spans="1:13" x14ac:dyDescent="0.25">
      <c r="A25" s="42" t="s">
        <v>54</v>
      </c>
      <c r="B25" s="140">
        <f>B23-B20</f>
        <v>60000</v>
      </c>
      <c r="C25" s="41"/>
      <c r="E25" s="90">
        <v>10001</v>
      </c>
      <c r="F25" s="91">
        <v>100000000</v>
      </c>
      <c r="G25" s="92">
        <v>5.5E-2</v>
      </c>
      <c r="H25" s="93">
        <f>(F24-F23)*G24+H24</f>
        <v>340</v>
      </c>
      <c r="I25" s="42"/>
      <c r="J25" s="101">
        <f t="shared" si="4"/>
        <v>414701</v>
      </c>
      <c r="K25" s="102">
        <v>622050</v>
      </c>
      <c r="L25" s="103">
        <v>0.35</v>
      </c>
      <c r="M25" s="104">
        <f t="shared" ref="M25:M26" si="5">CEILING((K24-J24)*L24+M24,0.5)</f>
        <v>94735</v>
      </c>
    </row>
    <row r="26" spans="1:13" ht="22.5" x14ac:dyDescent="0.25">
      <c r="A26" s="42" t="s">
        <v>53</v>
      </c>
      <c r="B26" s="140">
        <f>VLOOKUP(TaxableIncome,FederalTaxTable,4)+(TaxableIncome-VLOOKUP(TaxableIncome,FederalTaxTable,1))*VLOOKUP(TaxableIncome,FederalTaxTable,3)</f>
        <v>6220.28</v>
      </c>
      <c r="C26" s="213">
        <f>B26/24</f>
        <v>259.17833333333334</v>
      </c>
      <c r="E26" s="45" t="s">
        <v>52</v>
      </c>
      <c r="F26" s="44" t="s">
        <v>51</v>
      </c>
      <c r="G26" s="43"/>
      <c r="J26" s="105">
        <f t="shared" si="4"/>
        <v>622051</v>
      </c>
      <c r="K26" s="91">
        <v>100000000</v>
      </c>
      <c r="L26" s="106">
        <v>0.37</v>
      </c>
      <c r="M26" s="107">
        <f t="shared" si="5"/>
        <v>167307.5</v>
      </c>
    </row>
    <row r="27" spans="1:13" x14ac:dyDescent="0.25">
      <c r="A27" s="42" t="s">
        <v>50</v>
      </c>
      <c r="B27" s="140">
        <f>VLOOKUP(TaxableIncomeState,StateTaxTable,4)+(TaxableIncomeState-VLOOKUP(TaxableIncomeState,StateTaxTable,1))*VLOOKUP(TaxableIncomeState,StateTaxTable,3)</f>
        <v>3089.9450000000002</v>
      </c>
      <c r="C27" s="213"/>
    </row>
    <row r="28" spans="1:13" x14ac:dyDescent="0.25">
      <c r="A28" s="42" t="s">
        <v>49</v>
      </c>
      <c r="B28" s="140">
        <f>IF(B22&gt;137700,137700*0.062, B22*0.062)</f>
        <v>3720</v>
      </c>
      <c r="C28" s="213">
        <f>B28/24</f>
        <v>155</v>
      </c>
      <c r="E28" s="38"/>
      <c r="F28" s="38"/>
      <c r="G28" s="43"/>
    </row>
    <row r="29" spans="1:13" x14ac:dyDescent="0.25">
      <c r="A29" s="42" t="s">
        <v>48</v>
      </c>
      <c r="B29" s="140">
        <f>B22*0.0145</f>
        <v>870</v>
      </c>
      <c r="C29" s="213">
        <f>B29/24</f>
        <v>36.25</v>
      </c>
      <c r="E29" s="38"/>
      <c r="F29" s="38"/>
      <c r="G29" s="43"/>
    </row>
    <row r="30" spans="1:13" x14ac:dyDescent="0.25">
      <c r="A30" s="42" t="s">
        <v>47</v>
      </c>
      <c r="B30" s="140">
        <f>2000*B7</f>
        <v>2000</v>
      </c>
      <c r="C30" s="213"/>
      <c r="E30" s="38"/>
      <c r="F30" s="38"/>
    </row>
    <row r="31" spans="1:13" x14ac:dyDescent="0.25">
      <c r="A31" s="40" t="s">
        <v>46</v>
      </c>
      <c r="B31" s="142">
        <f>SUM(B26:B29)-B30</f>
        <v>11900.225</v>
      </c>
      <c r="C31" s="213"/>
      <c r="E31" s="38"/>
      <c r="F31" s="38"/>
    </row>
    <row r="32" spans="1:13" x14ac:dyDescent="0.25">
      <c r="C32" s="37"/>
    </row>
    <row r="33" spans="1:2" x14ac:dyDescent="0.25">
      <c r="A33" s="36" t="s">
        <v>45</v>
      </c>
      <c r="B33" s="203">
        <f>B26/TaxableIncome</f>
        <v>0.13067815126050419</v>
      </c>
    </row>
    <row r="34" spans="1:2" x14ac:dyDescent="0.25">
      <c r="A34" s="36" t="s">
        <v>44</v>
      </c>
      <c r="B34" s="35">
        <f>100/B24*B27</f>
        <v>6.4914810924369748</v>
      </c>
    </row>
  </sheetData>
  <hyperlinks>
    <hyperlink ref="F26" r:id="rId1" xr:uid="{36F4F351-66CE-46F7-B525-123810495F6D}"/>
    <hyperlink ref="F18" r:id="rId2" xr:uid="{2A696160-6374-417D-8CC8-F9A96D5C3BED}"/>
  </hyperlinks>
  <pageMargins left="0.75" right="0.75" top="1" bottom="1" header="0.5" footer="0.5"/>
  <pageSetup scale="51" orientation="portrait" horizontalDpi="4294967292" verticalDpi="4294967292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B8F11-9358-49C1-AE34-D2987D9837E1}">
  <dimension ref="A1:K8"/>
  <sheetViews>
    <sheetView workbookViewId="0">
      <selection activeCell="D13" sqref="D13"/>
    </sheetView>
  </sheetViews>
  <sheetFormatPr defaultRowHeight="15" x14ac:dyDescent="0.25"/>
  <cols>
    <col min="1" max="1" width="13.7109375" customWidth="1"/>
    <col min="2" max="2" width="19.5703125" bestFit="1" customWidth="1"/>
    <col min="3" max="3" width="21" bestFit="1" customWidth="1"/>
    <col min="4" max="6" width="18.5703125" customWidth="1"/>
    <col min="8" max="8" width="9.140625" customWidth="1"/>
    <col min="9" max="9" width="9" customWidth="1"/>
    <col min="10" max="10" width="18" customWidth="1"/>
    <col min="11" max="11" width="16" customWidth="1"/>
    <col min="12" max="12" width="12.42578125" bestFit="1" customWidth="1"/>
    <col min="13" max="13" width="9" bestFit="1" customWidth="1"/>
  </cols>
  <sheetData>
    <row r="1" spans="1:11" ht="15.75" thickBot="1" x14ac:dyDescent="0.3">
      <c r="A1" s="174" t="s">
        <v>241</v>
      </c>
      <c r="B1" s="174" t="s">
        <v>245</v>
      </c>
      <c r="C1" s="175" t="s">
        <v>237</v>
      </c>
      <c r="D1" s="175" t="s">
        <v>238</v>
      </c>
      <c r="E1" s="175" t="s">
        <v>242</v>
      </c>
      <c r="F1" s="175" t="s">
        <v>243</v>
      </c>
      <c r="G1" s="175" t="s">
        <v>239</v>
      </c>
      <c r="J1" s="204" t="s">
        <v>240</v>
      </c>
      <c r="K1" s="204" t="s">
        <v>238</v>
      </c>
    </row>
    <row r="2" spans="1:11" x14ac:dyDescent="0.25">
      <c r="A2" s="172" t="s">
        <v>163</v>
      </c>
      <c r="B2" s="208" t="s">
        <v>244</v>
      </c>
      <c r="C2" s="208" t="s">
        <v>247</v>
      </c>
      <c r="D2" s="211">
        <f>K5*('Personal Information'!D10/12)</f>
        <v>38944.816000000006</v>
      </c>
      <c r="E2" s="211">
        <f>D2</f>
        <v>38944.816000000006</v>
      </c>
      <c r="F2" s="211">
        <f>K2</f>
        <v>62000</v>
      </c>
      <c r="G2" s="209" t="str">
        <f>IF(A2="No","-",IF(E2&lt;$F$2,"Yes","No"))</f>
        <v>Yes</v>
      </c>
      <c r="J2" s="178" t="s">
        <v>236</v>
      </c>
      <c r="K2" s="205">
        <v>62000</v>
      </c>
    </row>
    <row r="3" spans="1:11" x14ac:dyDescent="0.25">
      <c r="A3" s="172" t="s">
        <v>164</v>
      </c>
      <c r="B3" s="17" t="s">
        <v>244</v>
      </c>
      <c r="C3" s="17" t="s">
        <v>147</v>
      </c>
      <c r="D3" s="60">
        <f>'Account Management'!R6</f>
        <v>0</v>
      </c>
      <c r="E3" s="60">
        <f>D3+E2</f>
        <v>38944.816000000006</v>
      </c>
      <c r="F3" s="60">
        <f>F2-D2</f>
        <v>23055.183999999994</v>
      </c>
      <c r="G3" s="210" t="str">
        <f t="shared" ref="G3:G7" si="0">IF(A3="No","-",IF(E3&lt;$F$2,"Yes","No"))</f>
        <v>-</v>
      </c>
      <c r="J3" s="178" t="s">
        <v>233</v>
      </c>
      <c r="K3" s="206">
        <f>'Income Summary'!D18</f>
        <v>97362.040000000023</v>
      </c>
    </row>
    <row r="4" spans="1:11" x14ac:dyDescent="0.25">
      <c r="A4" s="172" t="s">
        <v>163</v>
      </c>
      <c r="B4" s="17" t="s">
        <v>244</v>
      </c>
      <c r="C4" t="s">
        <v>146</v>
      </c>
      <c r="D4" s="153">
        <f>'Account Management'!R2</f>
        <v>6000</v>
      </c>
      <c r="E4" s="60">
        <f t="shared" ref="E4:E6" si="1">D4+E3</f>
        <v>44944.816000000006</v>
      </c>
      <c r="F4" s="60">
        <f>F3-D4</f>
        <v>17055.183999999994</v>
      </c>
      <c r="G4" s="210" t="str">
        <f t="shared" si="0"/>
        <v>Yes</v>
      </c>
      <c r="J4" s="178" t="s">
        <v>234</v>
      </c>
      <c r="K4" s="207">
        <f>K3*'Personal Information'!D11</f>
        <v>19472.408000000007</v>
      </c>
    </row>
    <row r="5" spans="1:11" x14ac:dyDescent="0.25">
      <c r="A5" s="172" t="s">
        <v>163</v>
      </c>
      <c r="B5" s="17" t="s">
        <v>244</v>
      </c>
      <c r="C5" t="s">
        <v>149</v>
      </c>
      <c r="D5" s="3">
        <f>'Account Management'!R7</f>
        <v>3600</v>
      </c>
      <c r="E5" s="60">
        <f t="shared" si="1"/>
        <v>48544.816000000006</v>
      </c>
      <c r="F5" s="60">
        <f>F4-D5</f>
        <v>13455.183999999994</v>
      </c>
      <c r="G5" s="210" t="str">
        <f t="shared" si="0"/>
        <v>Yes</v>
      </c>
      <c r="J5" s="178" t="s">
        <v>235</v>
      </c>
      <c r="K5" s="207">
        <f>K3-K4</f>
        <v>77889.632000000012</v>
      </c>
    </row>
    <row r="6" spans="1:11" x14ac:dyDescent="0.25">
      <c r="A6" s="172" t="s">
        <v>164</v>
      </c>
      <c r="B6" s="17" t="s">
        <v>244</v>
      </c>
      <c r="C6" s="154">
        <v>529</v>
      </c>
      <c r="D6" s="3">
        <f>'Account Management'!R3</f>
        <v>0</v>
      </c>
      <c r="E6" s="60">
        <f t="shared" si="1"/>
        <v>48544.816000000006</v>
      </c>
      <c r="F6" s="60">
        <f t="shared" ref="F6:F8" si="2">F5-D6</f>
        <v>13455.183999999994</v>
      </c>
      <c r="G6" s="210" t="str">
        <f t="shared" si="0"/>
        <v>-</v>
      </c>
    </row>
    <row r="7" spans="1:11" x14ac:dyDescent="0.25">
      <c r="A7" s="172" t="s">
        <v>164</v>
      </c>
      <c r="B7" s="17" t="s">
        <v>244</v>
      </c>
      <c r="C7" t="s">
        <v>148</v>
      </c>
      <c r="D7" s="3">
        <f>'Account Management'!R4</f>
        <v>0</v>
      </c>
      <c r="E7" s="60">
        <f>D7+E6</f>
        <v>48544.816000000006</v>
      </c>
      <c r="F7" s="60">
        <f t="shared" si="2"/>
        <v>13455.183999999994</v>
      </c>
      <c r="G7" s="210" t="str">
        <f t="shared" si="0"/>
        <v>-</v>
      </c>
    </row>
    <row r="8" spans="1:11" x14ac:dyDescent="0.25">
      <c r="A8" s="212" t="s">
        <v>248</v>
      </c>
      <c r="B8" s="17" t="s">
        <v>18</v>
      </c>
      <c r="C8" t="s">
        <v>246</v>
      </c>
      <c r="D8" s="4">
        <v>20000</v>
      </c>
      <c r="E8" s="60">
        <f>D8+E7</f>
        <v>68544.816000000006</v>
      </c>
      <c r="F8" s="60">
        <f t="shared" si="2"/>
        <v>-6544.8160000000062</v>
      </c>
      <c r="G8" s="210" t="str">
        <f>IF(A8="No","-",IF(E8&lt;$F$2,"Yes","No"))</f>
        <v>No</v>
      </c>
    </row>
  </sheetData>
  <conditionalFormatting sqref="G2:G8">
    <cfRule type="cellIs" dxfId="17" priority="1" operator="equal">
      <formula>"Yes"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90A28B-D925-4833-92E9-44763206C0C3}">
          <x14:formula1>
            <xm:f>Tables!$C$2:$C$3</xm:f>
          </x14:formula1>
          <xm:sqref>A2:A7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05D5C-D0B8-40BC-8DFF-45FAAE49CE8E}">
  <dimension ref="B3:T58"/>
  <sheetViews>
    <sheetView topLeftCell="B1" zoomScale="85" zoomScaleNormal="85" workbookViewId="0">
      <selection activeCell="C52" sqref="C52"/>
    </sheetView>
  </sheetViews>
  <sheetFormatPr defaultRowHeight="15" x14ac:dyDescent="0.25"/>
  <cols>
    <col min="1" max="1" width="4.28515625" customWidth="1"/>
    <col min="2" max="2" width="25.7109375" customWidth="1"/>
    <col min="3" max="3" width="15.85546875" customWidth="1"/>
    <col min="4" max="4" width="11.7109375" bestFit="1" customWidth="1"/>
    <col min="5" max="5" width="30.140625" bestFit="1" customWidth="1"/>
    <col min="6" max="7" width="11.7109375" bestFit="1" customWidth="1"/>
    <col min="8" max="13" width="12.7109375" bestFit="1" customWidth="1"/>
    <col min="14" max="14" width="2.28515625" customWidth="1"/>
    <col min="15" max="15" width="12.42578125" bestFit="1" customWidth="1"/>
    <col min="16" max="16" width="12.7109375" customWidth="1"/>
  </cols>
  <sheetData>
    <row r="3" spans="4:16" x14ac:dyDescent="0.25">
      <c r="E3" s="5" t="s">
        <v>0</v>
      </c>
      <c r="F3" s="214" t="s">
        <v>13</v>
      </c>
      <c r="G3" s="214"/>
      <c r="H3" s="214"/>
      <c r="I3" s="214"/>
      <c r="J3" s="214"/>
      <c r="K3" s="214"/>
      <c r="L3" s="214"/>
      <c r="M3" s="214"/>
      <c r="N3" s="76"/>
      <c r="O3" s="19" t="s">
        <v>30</v>
      </c>
    </row>
    <row r="4" spans="4:16" x14ac:dyDescent="0.25">
      <c r="E4" s="5" t="s">
        <v>25</v>
      </c>
      <c r="F4" s="14"/>
      <c r="G4" s="14" t="s">
        <v>24</v>
      </c>
      <c r="H4" s="14" t="s">
        <v>23</v>
      </c>
      <c r="I4" s="33" t="s">
        <v>43</v>
      </c>
      <c r="J4" s="215" t="s">
        <v>22</v>
      </c>
      <c r="K4" s="216"/>
      <c r="L4" s="14" t="s">
        <v>21</v>
      </c>
      <c r="M4" s="14" t="s">
        <v>20</v>
      </c>
      <c r="N4" s="76"/>
      <c r="O4" s="20"/>
    </row>
    <row r="5" spans="4:16" x14ac:dyDescent="0.25">
      <c r="E5" t="s">
        <v>1</v>
      </c>
      <c r="F5" s="3">
        <v>9950</v>
      </c>
      <c r="G5" s="3">
        <v>40525</v>
      </c>
      <c r="H5" s="3">
        <v>86375</v>
      </c>
      <c r="I5" s="3">
        <v>140000</v>
      </c>
      <c r="J5" s="3">
        <v>164925</v>
      </c>
      <c r="K5" s="3">
        <v>209425</v>
      </c>
      <c r="L5" s="3">
        <v>523600</v>
      </c>
      <c r="M5" s="3">
        <v>530000</v>
      </c>
      <c r="N5" s="3"/>
      <c r="O5" s="21"/>
    </row>
    <row r="6" spans="4:16" x14ac:dyDescent="0.25">
      <c r="E6" t="s">
        <v>2</v>
      </c>
      <c r="F6" s="3">
        <v>19900</v>
      </c>
      <c r="G6" s="3">
        <v>81050</v>
      </c>
      <c r="H6" s="3">
        <v>172750</v>
      </c>
      <c r="I6" s="3">
        <v>208000</v>
      </c>
      <c r="J6" s="3">
        <v>329850</v>
      </c>
      <c r="K6" s="3">
        <v>418850</v>
      </c>
      <c r="L6" s="3">
        <v>628300</v>
      </c>
      <c r="M6" s="3">
        <v>650000</v>
      </c>
      <c r="N6" s="3"/>
      <c r="O6" s="32">
        <f>'Income Summary'!D2</f>
        <v>134521.79999999999</v>
      </c>
    </row>
    <row r="7" spans="4:16" x14ac:dyDescent="0.25">
      <c r="F7" s="3"/>
      <c r="G7" s="3"/>
      <c r="H7" s="3"/>
      <c r="I7" s="3"/>
      <c r="J7" s="3"/>
      <c r="K7" s="3"/>
      <c r="L7" s="3"/>
      <c r="M7" s="3"/>
      <c r="N7" s="3"/>
    </row>
    <row r="8" spans="4:16" x14ac:dyDescent="0.25">
      <c r="E8" s="5" t="s">
        <v>9</v>
      </c>
      <c r="F8" s="3"/>
      <c r="G8" s="3"/>
      <c r="H8" s="3"/>
      <c r="I8" s="3"/>
      <c r="J8" s="3"/>
      <c r="K8" s="3"/>
      <c r="L8" s="3"/>
      <c r="M8" s="3"/>
      <c r="N8" s="3"/>
    </row>
    <row r="9" spans="4:16" x14ac:dyDescent="0.25">
      <c r="E9" t="s">
        <v>3</v>
      </c>
      <c r="F9" s="1">
        <v>0.1</v>
      </c>
      <c r="G9" s="1">
        <v>0.12</v>
      </c>
      <c r="H9" s="1">
        <v>0.22</v>
      </c>
      <c r="I9" s="1">
        <v>0.22</v>
      </c>
      <c r="J9" s="1">
        <v>0.24</v>
      </c>
      <c r="K9" s="1">
        <v>0.32</v>
      </c>
      <c r="L9" s="1">
        <v>0.35</v>
      </c>
      <c r="M9" s="1">
        <v>0.37</v>
      </c>
      <c r="N9" s="1"/>
      <c r="O9" s="217" t="s">
        <v>88</v>
      </c>
      <c r="P9" s="217"/>
    </row>
    <row r="10" spans="4:16" x14ac:dyDescent="0.25">
      <c r="E10" t="s">
        <v>4</v>
      </c>
      <c r="F10" s="2">
        <v>0.1</v>
      </c>
      <c r="G10" s="2">
        <v>0.1103</v>
      </c>
      <c r="H10" s="2">
        <v>0.1545</v>
      </c>
      <c r="I10" s="2">
        <v>0.1681</v>
      </c>
      <c r="J10" s="2">
        <v>0.19750000000000001</v>
      </c>
      <c r="K10" s="2">
        <v>0.2157</v>
      </c>
      <c r="L10" s="2">
        <v>0.26069999999999999</v>
      </c>
      <c r="M10" s="2">
        <v>0.26390000000000002</v>
      </c>
      <c r="N10" s="2"/>
      <c r="O10" s="59">
        <v>0.13780000000000001</v>
      </c>
      <c r="P10" s="58">
        <f>'Simple Tax Forecast Connected'!B33</f>
        <v>0.13776777170742263</v>
      </c>
    </row>
    <row r="11" spans="4:16" x14ac:dyDescent="0.25">
      <c r="D11" s="15">
        <v>5.3749999999999999E-2</v>
      </c>
      <c r="E11" t="s">
        <v>26</v>
      </c>
      <c r="F11" s="2">
        <f>$D$11</f>
        <v>5.3749999999999999E-2</v>
      </c>
      <c r="G11" s="2">
        <f t="shared" ref="G11:L11" si="0">$D$11</f>
        <v>5.3749999999999999E-2</v>
      </c>
      <c r="H11" s="2">
        <f t="shared" si="0"/>
        <v>5.3749999999999999E-2</v>
      </c>
      <c r="I11" s="2">
        <f t="shared" si="0"/>
        <v>5.3749999999999999E-2</v>
      </c>
      <c r="J11" s="2">
        <f t="shared" si="0"/>
        <v>5.3749999999999999E-2</v>
      </c>
      <c r="K11" s="2">
        <f t="shared" si="0"/>
        <v>5.3749999999999999E-2</v>
      </c>
      <c r="L11" s="2">
        <f t="shared" si="0"/>
        <v>5.3749999999999999E-2</v>
      </c>
      <c r="M11" s="2">
        <f>$D$11</f>
        <v>5.3749999999999999E-2</v>
      </c>
      <c r="N11" s="2"/>
      <c r="O11" s="2">
        <f>$D$11</f>
        <v>5.3749999999999999E-2</v>
      </c>
    </row>
    <row r="12" spans="4:16" x14ac:dyDescent="0.25">
      <c r="E12" t="s">
        <v>5</v>
      </c>
      <c r="F12" s="3">
        <f>F5*F$10+F5*F11</f>
        <v>1529.8125</v>
      </c>
      <c r="G12" s="3">
        <f>G5*G$10+G5*G11</f>
        <v>6648.1262500000003</v>
      </c>
      <c r="H12" s="3">
        <f t="shared" ref="H12:M12" si="1">H5*H$10+H5*H11</f>
        <v>17987.59375</v>
      </c>
      <c r="I12" s="3">
        <f t="shared" ref="I12" si="2">I5*I$10+I5*I11</f>
        <v>31059</v>
      </c>
      <c r="J12" s="3">
        <f t="shared" si="1"/>
        <v>41437.40625</v>
      </c>
      <c r="K12" s="3">
        <f t="shared" si="1"/>
        <v>56429.566250000003</v>
      </c>
      <c r="L12" s="3">
        <f t="shared" si="1"/>
        <v>164646.01999999999</v>
      </c>
      <c r="M12" s="3">
        <f t="shared" si="1"/>
        <v>168354.5</v>
      </c>
      <c r="N12" s="3"/>
    </row>
    <row r="13" spans="4:16" x14ac:dyDescent="0.25">
      <c r="E13" t="s">
        <v>6</v>
      </c>
      <c r="F13" s="3">
        <f>F6*F$10+F6*F11</f>
        <v>3059.625</v>
      </c>
      <c r="G13" s="3">
        <f t="shared" ref="G13:M13" si="3">G6*G$10+G6*G11</f>
        <v>13296.252500000001</v>
      </c>
      <c r="H13" s="3">
        <f t="shared" si="3"/>
        <v>35975.1875</v>
      </c>
      <c r="I13" s="3">
        <f t="shared" ref="I13" si="4">I6*I$10+I6*I11</f>
        <v>46144.800000000003</v>
      </c>
      <c r="J13" s="3">
        <f t="shared" si="3"/>
        <v>82874.8125</v>
      </c>
      <c r="K13" s="3">
        <f t="shared" si="3"/>
        <v>112859.13250000001</v>
      </c>
      <c r="L13" s="3">
        <f t="shared" si="3"/>
        <v>197568.935</v>
      </c>
      <c r="M13" s="3">
        <f t="shared" si="3"/>
        <v>206472.50000000003</v>
      </c>
      <c r="N13" s="3"/>
      <c r="O13" s="147">
        <f>'Simple Tax Forecast Connected'!B31</f>
        <v>29183.438199999993</v>
      </c>
    </row>
    <row r="15" spans="4:16" x14ac:dyDescent="0.25">
      <c r="D15" s="10">
        <v>0.05</v>
      </c>
      <c r="E15" s="5" t="s">
        <v>12</v>
      </c>
      <c r="F15" s="4"/>
    </row>
    <row r="16" spans="4:16" x14ac:dyDescent="0.25">
      <c r="E16" t="s">
        <v>1</v>
      </c>
      <c r="F16" s="4">
        <f t="shared" ref="F16:M17" si="5">$D$15*F5</f>
        <v>497.5</v>
      </c>
      <c r="G16" s="4">
        <f t="shared" si="5"/>
        <v>2026.25</v>
      </c>
      <c r="H16" s="4">
        <f t="shared" si="5"/>
        <v>4318.75</v>
      </c>
      <c r="I16" s="4">
        <f t="shared" ref="I16" si="6">$D$15*I5</f>
        <v>7000</v>
      </c>
      <c r="J16" s="4">
        <f t="shared" si="5"/>
        <v>8246.25</v>
      </c>
      <c r="K16" s="4">
        <f t="shared" si="5"/>
        <v>10471.25</v>
      </c>
      <c r="L16" s="4">
        <f t="shared" si="5"/>
        <v>26180</v>
      </c>
      <c r="M16" s="4">
        <f t="shared" si="5"/>
        <v>26500</v>
      </c>
      <c r="N16" s="4"/>
      <c r="O16" s="4"/>
    </row>
    <row r="17" spans="4:15" x14ac:dyDescent="0.25">
      <c r="E17" t="s">
        <v>2</v>
      </c>
      <c r="F17" s="4">
        <f t="shared" si="5"/>
        <v>995</v>
      </c>
      <c r="G17" s="4">
        <f t="shared" si="5"/>
        <v>4052.5</v>
      </c>
      <c r="H17" s="4">
        <f t="shared" si="5"/>
        <v>8637.5</v>
      </c>
      <c r="I17" s="4">
        <f t="shared" ref="I17" si="7">$D$15*I6</f>
        <v>10400</v>
      </c>
      <c r="J17" s="4">
        <f t="shared" si="5"/>
        <v>16492.5</v>
      </c>
      <c r="K17" s="4">
        <f t="shared" si="5"/>
        <v>20942.5</v>
      </c>
      <c r="L17" s="4">
        <f t="shared" si="5"/>
        <v>31415</v>
      </c>
      <c r="M17" s="4">
        <f t="shared" si="5"/>
        <v>32500</v>
      </c>
      <c r="N17" s="4"/>
      <c r="O17" s="4">
        <f>$D$15*O6</f>
        <v>6726.09</v>
      </c>
    </row>
    <row r="19" spans="4:15" x14ac:dyDescent="0.25">
      <c r="E19" s="5" t="s">
        <v>7</v>
      </c>
    </row>
    <row r="20" spans="4:15" x14ac:dyDescent="0.25">
      <c r="E20" t="s">
        <v>1</v>
      </c>
      <c r="F20" s="4">
        <f t="shared" ref="F20:M21" si="8">F5-F12-F16</f>
        <v>7922.6875</v>
      </c>
      <c r="G20" s="4">
        <f t="shared" si="8"/>
        <v>31850.623749999999</v>
      </c>
      <c r="H20" s="4">
        <f t="shared" si="8"/>
        <v>64068.65625</v>
      </c>
      <c r="I20" s="4">
        <f t="shared" ref="I20" si="9">I5-I12-I16</f>
        <v>101941</v>
      </c>
      <c r="J20" s="4">
        <f t="shared" si="8"/>
        <v>115241.34375</v>
      </c>
      <c r="K20" s="4">
        <f t="shared" si="8"/>
        <v>142524.18375</v>
      </c>
      <c r="L20" s="4">
        <f t="shared" si="8"/>
        <v>332773.98</v>
      </c>
      <c r="M20" s="4">
        <f t="shared" si="8"/>
        <v>335145.5</v>
      </c>
      <c r="N20" s="4"/>
      <c r="O20" s="4"/>
    </row>
    <row r="21" spans="4:15" x14ac:dyDescent="0.25">
      <c r="E21" t="s">
        <v>2</v>
      </c>
      <c r="F21" s="4">
        <f t="shared" si="8"/>
        <v>15845.375</v>
      </c>
      <c r="G21" s="4">
        <f t="shared" si="8"/>
        <v>63701.247499999998</v>
      </c>
      <c r="H21" s="4">
        <f t="shared" si="8"/>
        <v>128137.3125</v>
      </c>
      <c r="I21" s="4">
        <f t="shared" ref="I21" si="10">I6-I13-I17</f>
        <v>151455.20000000001</v>
      </c>
      <c r="J21" s="4">
        <f t="shared" si="8"/>
        <v>230482.6875</v>
      </c>
      <c r="K21" s="4">
        <f t="shared" si="8"/>
        <v>285048.36749999999</v>
      </c>
      <c r="L21" s="4">
        <f t="shared" si="8"/>
        <v>399316.065</v>
      </c>
      <c r="M21" s="4">
        <f t="shared" si="8"/>
        <v>411027.5</v>
      </c>
      <c r="N21" s="4"/>
      <c r="O21" s="4">
        <f>O6-O13-O17</f>
        <v>98612.271800000002</v>
      </c>
    </row>
    <row r="22" spans="4:15" x14ac:dyDescent="0.25"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4:15" x14ac:dyDescent="0.25">
      <c r="D23" s="8">
        <v>0.2</v>
      </c>
      <c r="E23" s="5" t="s">
        <v>11</v>
      </c>
      <c r="F23" s="4"/>
    </row>
    <row r="24" spans="4:15" x14ac:dyDescent="0.25">
      <c r="D24" s="9"/>
      <c r="E24" t="s">
        <v>1</v>
      </c>
      <c r="F24" s="4">
        <f t="shared" ref="F24:M25" si="11">$D$23*F20</f>
        <v>1584.5375000000001</v>
      </c>
      <c r="G24" s="4">
        <f t="shared" si="11"/>
        <v>6370.1247499999999</v>
      </c>
      <c r="H24" s="4">
        <f t="shared" si="11"/>
        <v>12813.731250000001</v>
      </c>
      <c r="I24" s="4">
        <f t="shared" ref="I24" si="12">$D$23*I20</f>
        <v>20388.2</v>
      </c>
      <c r="J24" s="4">
        <f t="shared" si="11"/>
        <v>23048.268750000003</v>
      </c>
      <c r="K24" s="4">
        <f t="shared" si="11"/>
        <v>28504.836750000002</v>
      </c>
      <c r="L24" s="4">
        <f t="shared" si="11"/>
        <v>66554.796000000002</v>
      </c>
      <c r="M24" s="4">
        <f t="shared" si="11"/>
        <v>67029.100000000006</v>
      </c>
      <c r="N24" s="4"/>
      <c r="O24" s="4"/>
    </row>
    <row r="25" spans="4:15" x14ac:dyDescent="0.25">
      <c r="D25" s="7"/>
      <c r="E25" t="s">
        <v>2</v>
      </c>
      <c r="F25" s="4">
        <f t="shared" si="11"/>
        <v>3169.0750000000003</v>
      </c>
      <c r="G25" s="4">
        <f t="shared" si="11"/>
        <v>12740.2495</v>
      </c>
      <c r="H25" s="4">
        <f t="shared" si="11"/>
        <v>25627.462500000001</v>
      </c>
      <c r="I25" s="4">
        <f t="shared" ref="I25" si="13">$D$23*I21</f>
        <v>30291.040000000005</v>
      </c>
      <c r="J25" s="4">
        <f t="shared" si="11"/>
        <v>46096.537500000006</v>
      </c>
      <c r="K25" s="4">
        <f t="shared" si="11"/>
        <v>57009.673500000004</v>
      </c>
      <c r="L25" s="4">
        <f t="shared" si="11"/>
        <v>79863.213000000003</v>
      </c>
      <c r="M25" s="4">
        <f t="shared" si="11"/>
        <v>82205.5</v>
      </c>
      <c r="N25" s="4"/>
      <c r="O25" s="4">
        <f>$D$23*O21</f>
        <v>19722.454360000003</v>
      </c>
    </row>
    <row r="27" spans="4:15" x14ac:dyDescent="0.25">
      <c r="D27" s="6">
        <v>6</v>
      </c>
      <c r="E27" s="5" t="s">
        <v>8</v>
      </c>
    </row>
    <row r="28" spans="4:15" x14ac:dyDescent="0.25">
      <c r="D28" s="8">
        <f>1-D23</f>
        <v>0.8</v>
      </c>
      <c r="E28" s="5" t="s">
        <v>10</v>
      </c>
    </row>
    <row r="29" spans="4:15" x14ac:dyDescent="0.25">
      <c r="E29" t="s">
        <v>1</v>
      </c>
      <c r="F29" s="4">
        <f>$D$28*F20*($D$27/12)</f>
        <v>3169.0750000000003</v>
      </c>
      <c r="G29" s="4">
        <f t="shared" ref="G29:M29" si="14">$D$28*G20*($D$27/12)</f>
        <v>12740.2495</v>
      </c>
      <c r="H29" s="4">
        <f t="shared" si="14"/>
        <v>25627.462500000001</v>
      </c>
      <c r="I29" s="4">
        <f t="shared" ref="I29" si="15">$D$28*I20*($D$27/12)</f>
        <v>40776.400000000001</v>
      </c>
      <c r="J29" s="4">
        <f t="shared" si="14"/>
        <v>46096.537500000006</v>
      </c>
      <c r="K29" s="4">
        <f t="shared" si="14"/>
        <v>57009.673500000004</v>
      </c>
      <c r="L29" s="4">
        <f t="shared" si="14"/>
        <v>133109.592</v>
      </c>
      <c r="M29" s="4">
        <f t="shared" si="14"/>
        <v>134058.20000000001</v>
      </c>
      <c r="N29" s="4"/>
      <c r="O29" s="4"/>
    </row>
    <row r="30" spans="4:15" x14ac:dyDescent="0.25">
      <c r="E30" t="s">
        <v>2</v>
      </c>
      <c r="F30" s="4">
        <f>$D$28*F21*($D$27/12)</f>
        <v>6338.1500000000005</v>
      </c>
      <c r="G30" s="4">
        <f t="shared" ref="G30:M30" si="16">$D$28*G21*($D$27/12)</f>
        <v>25480.499</v>
      </c>
      <c r="H30" s="4">
        <f t="shared" si="16"/>
        <v>51254.925000000003</v>
      </c>
      <c r="I30" s="4">
        <f t="shared" ref="I30" si="17">$D$28*I21*($D$27/12)</f>
        <v>60582.080000000009</v>
      </c>
      <c r="J30" s="4">
        <f t="shared" si="16"/>
        <v>92193.075000000012</v>
      </c>
      <c r="K30" s="4">
        <f t="shared" si="16"/>
        <v>114019.34700000001</v>
      </c>
      <c r="L30" s="4">
        <f t="shared" si="16"/>
        <v>159726.42600000001</v>
      </c>
      <c r="M30" s="4">
        <f t="shared" si="16"/>
        <v>164411</v>
      </c>
      <c r="N30" s="4"/>
      <c r="O30" s="4">
        <f>$D$28*O21*($D$27/12)</f>
        <v>39444.908720000007</v>
      </c>
    </row>
    <row r="31" spans="4:15" x14ac:dyDescent="0.25">
      <c r="D31" s="7"/>
      <c r="F31" s="4"/>
    </row>
    <row r="32" spans="4:15" x14ac:dyDescent="0.25">
      <c r="D32" s="14" t="s">
        <v>19</v>
      </c>
      <c r="E32" s="5" t="s">
        <v>15</v>
      </c>
    </row>
    <row r="33" spans="2:15" x14ac:dyDescent="0.25">
      <c r="B33" s="219" t="s">
        <v>98</v>
      </c>
      <c r="C33" s="219"/>
      <c r="D33" s="12">
        <v>6000</v>
      </c>
      <c r="E33" t="s">
        <v>1</v>
      </c>
      <c r="F33" s="4">
        <f t="shared" ref="F33:H34" si="18">IF(F24&lt;$D33,F24,$D33)</f>
        <v>1584.5375000000001</v>
      </c>
      <c r="G33" s="4">
        <f t="shared" si="18"/>
        <v>6000</v>
      </c>
      <c r="H33" s="4">
        <f t="shared" si="18"/>
        <v>6000</v>
      </c>
      <c r="I33" s="4">
        <f t="shared" ref="I33" si="19">IF(I24&lt;$D33,I24,$D33)</f>
        <v>6000</v>
      </c>
      <c r="J33" s="4">
        <v>0</v>
      </c>
      <c r="K33" s="3">
        <v>0</v>
      </c>
      <c r="L33" s="3">
        <v>0</v>
      </c>
      <c r="M33" s="3">
        <v>0</v>
      </c>
      <c r="N33" s="3"/>
      <c r="O33" s="4"/>
    </row>
    <row r="34" spans="2:15" x14ac:dyDescent="0.25">
      <c r="B34" s="219"/>
      <c r="C34" s="219"/>
      <c r="D34" s="12">
        <v>12000</v>
      </c>
      <c r="E34" t="s">
        <v>2</v>
      </c>
      <c r="F34" s="4">
        <f t="shared" si="18"/>
        <v>3169.0750000000003</v>
      </c>
      <c r="G34" s="4">
        <f t="shared" si="18"/>
        <v>12000</v>
      </c>
      <c r="H34" s="4">
        <f t="shared" si="18"/>
        <v>12000</v>
      </c>
      <c r="I34" s="4">
        <f t="shared" ref="I34" si="20">IF(I25&lt;$D34,I25,$D34)</f>
        <v>12000</v>
      </c>
      <c r="J34" s="4">
        <v>0</v>
      </c>
      <c r="K34" s="3">
        <v>0</v>
      </c>
      <c r="L34" s="3">
        <v>0</v>
      </c>
      <c r="M34" s="3">
        <v>0</v>
      </c>
      <c r="N34" s="3"/>
      <c r="O34" s="4">
        <f>IF(O25&lt;$D34,O25,$D34)</f>
        <v>12000</v>
      </c>
    </row>
    <row r="35" spans="2:15" x14ac:dyDescent="0.25">
      <c r="D35" s="12"/>
      <c r="F35" s="4"/>
      <c r="G35" s="3"/>
      <c r="H35" s="3"/>
      <c r="I35" s="3"/>
      <c r="J35" s="3"/>
    </row>
    <row r="36" spans="2:15" x14ac:dyDescent="0.25">
      <c r="D36" s="12"/>
      <c r="E36" s="5" t="s">
        <v>16</v>
      </c>
    </row>
    <row r="37" spans="2:15" x14ac:dyDescent="0.25">
      <c r="D37" s="12">
        <v>6000</v>
      </c>
      <c r="E37" t="s">
        <v>1</v>
      </c>
      <c r="F37" s="3">
        <v>0</v>
      </c>
      <c r="G37" s="3">
        <v>0</v>
      </c>
      <c r="H37" s="3">
        <v>0</v>
      </c>
      <c r="I37" s="3">
        <v>0</v>
      </c>
      <c r="J37" s="4">
        <f>IF(J24&lt;$D37,J24,$D37)</f>
        <v>6000</v>
      </c>
      <c r="K37" s="4">
        <f>IF(K24&lt;$D37,K24,$D37)</f>
        <v>6000</v>
      </c>
      <c r="L37" s="4">
        <f t="shared" ref="L37:M37" si="21">IF(L24&lt;$D37,L24,$D37)</f>
        <v>6000</v>
      </c>
      <c r="M37" s="4">
        <f t="shared" si="21"/>
        <v>6000</v>
      </c>
      <c r="N37" s="4"/>
      <c r="O37" s="4">
        <f t="shared" ref="O37" si="22">IF(O24&lt;$D37,O24,$D37)</f>
        <v>0</v>
      </c>
    </row>
    <row r="38" spans="2:15" x14ac:dyDescent="0.25">
      <c r="D38" s="12">
        <v>12000</v>
      </c>
      <c r="E38" t="s">
        <v>2</v>
      </c>
      <c r="F38" s="3">
        <v>0</v>
      </c>
      <c r="G38" s="3">
        <v>0</v>
      </c>
      <c r="H38" s="3">
        <v>0</v>
      </c>
      <c r="I38" s="3">
        <v>0</v>
      </c>
      <c r="J38" s="4">
        <f>IF(J25&lt;$D38,J25,$D38)</f>
        <v>12000</v>
      </c>
      <c r="K38" s="4">
        <f>IF(K25&lt;$D38,K25,$D38)</f>
        <v>12000</v>
      </c>
      <c r="L38" s="4">
        <f t="shared" ref="L38:M38" si="23">IF(L25&lt;$D38,L25,$D38)</f>
        <v>12000</v>
      </c>
      <c r="M38" s="4">
        <f t="shared" si="23"/>
        <v>12000</v>
      </c>
      <c r="N38" s="4"/>
      <c r="O38" s="62">
        <v>0</v>
      </c>
    </row>
    <row r="39" spans="2:15" x14ac:dyDescent="0.25">
      <c r="D39" s="12"/>
      <c r="O39" s="60"/>
    </row>
    <row r="40" spans="2:15" x14ac:dyDescent="0.25">
      <c r="C40" s="81" t="s">
        <v>92</v>
      </c>
      <c r="D40" s="12"/>
      <c r="E40" s="5" t="s">
        <v>90</v>
      </c>
    </row>
    <row r="41" spans="2:15" x14ac:dyDescent="0.25">
      <c r="C41" s="6">
        <v>0</v>
      </c>
      <c r="D41" s="12">
        <f>C43*C41</f>
        <v>0</v>
      </c>
      <c r="E41" t="s">
        <v>1</v>
      </c>
      <c r="F41" s="4">
        <f>IF(F24-F33&lt;$D41,F24-F33,$D41)</f>
        <v>0</v>
      </c>
      <c r="G41" s="4">
        <f t="shared" ref="G41:I41" si="24">IF(G24-G33&lt;$D41,G24-G33,$D41)</f>
        <v>0</v>
      </c>
      <c r="H41" s="4">
        <f t="shared" si="24"/>
        <v>0</v>
      </c>
      <c r="I41" s="4">
        <f t="shared" si="24"/>
        <v>0</v>
      </c>
      <c r="J41" s="4">
        <f>IF(J24-J37&lt;$D41,J24-J37,$D41)</f>
        <v>0</v>
      </c>
      <c r="K41" s="4">
        <f>IF(K24-K37&lt;$D41,K24-K37,$D41)</f>
        <v>0</v>
      </c>
      <c r="L41" s="4">
        <f t="shared" ref="L41:M41" si="25">IF(L24-L37&lt;$D41,L24-L37,$D41)</f>
        <v>0</v>
      </c>
      <c r="M41" s="4">
        <f t="shared" si="25"/>
        <v>0</v>
      </c>
      <c r="O41" s="4"/>
    </row>
    <row r="42" spans="2:15" x14ac:dyDescent="0.25">
      <c r="C42" s="81" t="s">
        <v>93</v>
      </c>
      <c r="D42" s="12">
        <f>C43*C41</f>
        <v>0</v>
      </c>
      <c r="E42" t="s">
        <v>2</v>
      </c>
      <c r="F42" s="4">
        <f>IF(F25-F34&lt;$D42,F25-F34,$D42)</f>
        <v>0</v>
      </c>
      <c r="G42" s="4">
        <f t="shared" ref="G42:I42" si="26">IF(G25-G34&lt;$D42,G25-G34,$D42)</f>
        <v>0</v>
      </c>
      <c r="H42" s="4">
        <f t="shared" si="26"/>
        <v>0</v>
      </c>
      <c r="I42" s="4">
        <f t="shared" si="26"/>
        <v>0</v>
      </c>
      <c r="J42" s="4">
        <f>IF(J25-J38&lt;$D42,J25-J38,$D42)</f>
        <v>0</v>
      </c>
      <c r="K42" s="4">
        <f>IF(K25-K38&lt;$D42,K25-K38,$D42)</f>
        <v>0</v>
      </c>
      <c r="L42" s="4">
        <f t="shared" ref="L42:M42" si="27">IF(L25-L38&lt;$D42,L25-L38,$D42)</f>
        <v>0</v>
      </c>
      <c r="M42" s="4">
        <f t="shared" si="27"/>
        <v>0</v>
      </c>
      <c r="O42" s="4">
        <f t="shared" ref="O42" si="28">IF(O25-O38&lt;$D42,O25-O38,$D42)</f>
        <v>0</v>
      </c>
    </row>
    <row r="43" spans="2:15" x14ac:dyDescent="0.25">
      <c r="C43" s="32">
        <v>15000</v>
      </c>
      <c r="D43" s="12"/>
    </row>
    <row r="44" spans="2:15" x14ac:dyDescent="0.25">
      <c r="C44" s="78"/>
      <c r="D44" s="12"/>
    </row>
    <row r="45" spans="2:15" x14ac:dyDescent="0.25">
      <c r="C45" s="5"/>
      <c r="D45" s="12"/>
      <c r="E45" s="5" t="s">
        <v>14</v>
      </c>
    </row>
    <row r="46" spans="2:15" x14ac:dyDescent="0.25">
      <c r="B46" s="218" t="s">
        <v>96</v>
      </c>
      <c r="C46" s="79" t="s">
        <v>97</v>
      </c>
      <c r="D46" s="12">
        <v>19500</v>
      </c>
      <c r="E46" t="s">
        <v>1</v>
      </c>
      <c r="F46" s="4">
        <f>IF(F24-F33-F41&lt;$D46,F24-F33,$D46)</f>
        <v>0</v>
      </c>
      <c r="G46" s="4">
        <f t="shared" ref="G46:I46" si="29">IF(G24-G33-G41&lt;$D46,G24-G33,$D46)</f>
        <v>370.12474999999995</v>
      </c>
      <c r="H46" s="4">
        <f t="shared" si="29"/>
        <v>6813.7312500000007</v>
      </c>
      <c r="I46" s="4">
        <f t="shared" si="29"/>
        <v>14388.2</v>
      </c>
      <c r="J46" s="4">
        <f t="shared" ref="J46:L46" si="30">IF(J24-J33-J37&lt;$D46,J24-J33-J41,$D46)</f>
        <v>23048.268750000003</v>
      </c>
      <c r="K46" s="4">
        <f t="shared" si="30"/>
        <v>19500</v>
      </c>
      <c r="L46" s="4">
        <f t="shared" si="30"/>
        <v>19500</v>
      </c>
      <c r="M46" s="4">
        <f>IF(M24-M33-M37&lt;$D46,M24-M33-M41,$D46)</f>
        <v>19500</v>
      </c>
      <c r="N46" s="4"/>
      <c r="O46" s="4"/>
    </row>
    <row r="47" spans="2:15" x14ac:dyDescent="0.25">
      <c r="B47" s="218"/>
      <c r="C47" s="80">
        <v>0</v>
      </c>
      <c r="D47" s="12">
        <v>39000</v>
      </c>
      <c r="E47" t="s">
        <v>2</v>
      </c>
      <c r="F47" s="4">
        <f>IF(F25-F34-F42&lt;$D47,F25-F34,$D47)</f>
        <v>0</v>
      </c>
      <c r="G47" s="4">
        <f t="shared" ref="G47:I47" si="31">IF(G25-G34-G42&lt;$D47,G25-G34,$D47)</f>
        <v>740.2494999999999</v>
      </c>
      <c r="H47" s="4">
        <f t="shared" si="31"/>
        <v>13627.462500000001</v>
      </c>
      <c r="I47" s="4">
        <f t="shared" si="31"/>
        <v>18291.040000000005</v>
      </c>
      <c r="J47" s="4">
        <f t="shared" ref="J47:L47" si="32">IF(J25-J34-J38&lt;$D47,J25-J34-J42,$D47)</f>
        <v>46096.537500000006</v>
      </c>
      <c r="K47" s="4">
        <f t="shared" si="32"/>
        <v>39000</v>
      </c>
      <c r="L47" s="4">
        <f t="shared" si="32"/>
        <v>39000</v>
      </c>
      <c r="M47" s="4">
        <f>IF(M25-M34-M38&lt;$D47,M25-M34-M42,$D47)</f>
        <v>39000</v>
      </c>
      <c r="N47" s="4"/>
      <c r="O47" s="4">
        <f>(IF(O25-O34-O38&lt;$D47,O25-O34-O42,$D47))*C47</f>
        <v>0</v>
      </c>
    </row>
    <row r="48" spans="2:15" x14ac:dyDescent="0.25">
      <c r="B48" s="11"/>
      <c r="C48" s="5"/>
      <c r="D48" s="12"/>
    </row>
    <row r="49" spans="2:20" x14ac:dyDescent="0.25">
      <c r="B49" s="11"/>
      <c r="C49" s="5"/>
      <c r="D49" s="12"/>
      <c r="E49" s="5" t="s">
        <v>17</v>
      </c>
    </row>
    <row r="50" spans="2:20" x14ac:dyDescent="0.25">
      <c r="B50" s="218" t="s">
        <v>91</v>
      </c>
      <c r="C50" s="79" t="s">
        <v>97</v>
      </c>
      <c r="D50" s="12">
        <v>3600</v>
      </c>
      <c r="E50" t="s">
        <v>1</v>
      </c>
      <c r="F50" s="3">
        <f t="shared" ref="F50:M51" si="33">IF(F24-F33-F37-F46&lt;$D50,F24-F33-F37-F46,$D50)</f>
        <v>0</v>
      </c>
      <c r="G50" s="3">
        <f t="shared" si="33"/>
        <v>0</v>
      </c>
      <c r="H50" s="3">
        <f t="shared" si="33"/>
        <v>0</v>
      </c>
      <c r="I50" s="3">
        <f t="shared" si="33"/>
        <v>0</v>
      </c>
      <c r="J50" s="3">
        <f t="shared" si="33"/>
        <v>-6000</v>
      </c>
      <c r="K50" s="3">
        <f t="shared" si="33"/>
        <v>3004.8367500000022</v>
      </c>
      <c r="L50" s="3">
        <f t="shared" si="33"/>
        <v>3600</v>
      </c>
      <c r="M50" s="3">
        <f t="shared" si="33"/>
        <v>3600</v>
      </c>
      <c r="N50" s="3"/>
      <c r="O50" s="3"/>
    </row>
    <row r="51" spans="2:20" ht="14.45" customHeight="1" x14ac:dyDescent="0.25">
      <c r="B51" s="218"/>
      <c r="C51" s="80">
        <v>0</v>
      </c>
      <c r="D51" s="13">
        <v>7200</v>
      </c>
      <c r="E51" t="s">
        <v>2</v>
      </c>
      <c r="F51" s="3">
        <f t="shared" si="33"/>
        <v>0</v>
      </c>
      <c r="G51" s="3">
        <f t="shared" si="33"/>
        <v>0</v>
      </c>
      <c r="H51" s="3">
        <f t="shared" si="33"/>
        <v>0</v>
      </c>
      <c r="I51" s="3">
        <f t="shared" si="33"/>
        <v>0</v>
      </c>
      <c r="J51" s="3">
        <f t="shared" si="33"/>
        <v>-12000</v>
      </c>
      <c r="K51" s="3">
        <f t="shared" si="33"/>
        <v>6009.6735000000044</v>
      </c>
      <c r="L51" s="3">
        <f t="shared" si="33"/>
        <v>7200</v>
      </c>
      <c r="M51" s="3">
        <f t="shared" si="33"/>
        <v>7200</v>
      </c>
      <c r="N51" s="3"/>
      <c r="O51" s="3">
        <f>IF(O25-O34-O38-O47&lt;$D51,O25-O34-O38-O47,$D51)*C51</f>
        <v>0</v>
      </c>
    </row>
    <row r="52" spans="2:20" ht="15.75" thickBot="1" x14ac:dyDescent="0.3">
      <c r="D52" s="3"/>
    </row>
    <row r="53" spans="2:20" ht="30.75" thickBot="1" x14ac:dyDescent="0.3">
      <c r="D53" s="3"/>
      <c r="O53" s="63">
        <f>O34+O47+O51</f>
        <v>12000</v>
      </c>
      <c r="P53" s="77" t="s">
        <v>95</v>
      </c>
    </row>
    <row r="54" spans="2:20" x14ac:dyDescent="0.25">
      <c r="E54" s="5" t="s">
        <v>18</v>
      </c>
    </row>
    <row r="55" spans="2:20" x14ac:dyDescent="0.25">
      <c r="F55" s="4">
        <f t="shared" ref="F55:M56" si="34">F24-F33-F46-F50</f>
        <v>0</v>
      </c>
      <c r="G55" s="4">
        <f t="shared" si="34"/>
        <v>0</v>
      </c>
      <c r="H55" s="4">
        <f t="shared" si="34"/>
        <v>0</v>
      </c>
      <c r="I55" s="4">
        <f t="shared" si="34"/>
        <v>0</v>
      </c>
      <c r="J55" s="4">
        <f t="shared" si="34"/>
        <v>6000</v>
      </c>
      <c r="K55" s="4">
        <f t="shared" si="34"/>
        <v>6000</v>
      </c>
      <c r="L55" s="4">
        <f t="shared" si="34"/>
        <v>43454.796000000002</v>
      </c>
      <c r="M55" s="4">
        <f t="shared" si="34"/>
        <v>43929.100000000006</v>
      </c>
      <c r="N55" s="4"/>
      <c r="O55" s="4"/>
      <c r="T55" s="61"/>
    </row>
    <row r="56" spans="2:20" x14ac:dyDescent="0.25">
      <c r="F56" s="4">
        <f t="shared" si="34"/>
        <v>0</v>
      </c>
      <c r="G56" s="4">
        <f t="shared" si="34"/>
        <v>0</v>
      </c>
      <c r="H56" s="4">
        <f t="shared" si="34"/>
        <v>0</v>
      </c>
      <c r="I56" s="4">
        <f t="shared" si="34"/>
        <v>0</v>
      </c>
      <c r="J56" s="4">
        <f t="shared" si="34"/>
        <v>12000</v>
      </c>
      <c r="K56" s="4">
        <f t="shared" si="34"/>
        <v>12000</v>
      </c>
      <c r="L56" s="4">
        <f t="shared" si="34"/>
        <v>33663.213000000003</v>
      </c>
      <c r="M56" s="4">
        <f t="shared" si="34"/>
        <v>36005.5</v>
      </c>
      <c r="N56" s="4"/>
      <c r="O56" s="4">
        <f>O25-O34-O47-O51</f>
        <v>7722.4543600000034</v>
      </c>
    </row>
    <row r="58" spans="2:20" x14ac:dyDescent="0.25">
      <c r="E58" s="5"/>
    </row>
  </sheetData>
  <mergeCells count="6">
    <mergeCell ref="F3:M3"/>
    <mergeCell ref="J4:K4"/>
    <mergeCell ref="O9:P9"/>
    <mergeCell ref="B50:B51"/>
    <mergeCell ref="B46:B47"/>
    <mergeCell ref="B33:C34"/>
  </mergeCells>
  <phoneticPr fontId="3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Personal Information</vt:lpstr>
      <vt:lpstr>PayCheck 1</vt:lpstr>
      <vt:lpstr>PayCheck 2</vt:lpstr>
      <vt:lpstr>Income Summary</vt:lpstr>
      <vt:lpstr>Account Management</vt:lpstr>
      <vt:lpstr>Simple Tax Forecast Connected</vt:lpstr>
      <vt:lpstr>Simple Tax Forecast Standalone</vt:lpstr>
      <vt:lpstr>Buckets</vt:lpstr>
      <vt:lpstr>SavingxTaxBrkt</vt:lpstr>
      <vt:lpstr>Tables</vt:lpstr>
      <vt:lpstr>RetirementxBrkt</vt:lpstr>
      <vt:lpstr>ExpensexTaxBrkt</vt:lpstr>
      <vt:lpstr>'Simple Tax Forecast Standalone'!AGI</vt:lpstr>
      <vt:lpstr>AGI</vt:lpstr>
      <vt:lpstr>'Simple Tax Forecast Standalone'!FederalTaxTable</vt:lpstr>
      <vt:lpstr>FederalTaxTable</vt:lpstr>
      <vt:lpstr>'Simple Tax Forecast Standalone'!StateTaxTable</vt:lpstr>
      <vt:lpstr>StateTaxTable</vt:lpstr>
      <vt:lpstr>'Simple Tax Forecast Standalone'!TaxableIncome</vt:lpstr>
      <vt:lpstr>TaxableIncome</vt:lpstr>
      <vt:lpstr>'Simple Tax Forecast Standalone'!TaxableIncomeFederal</vt:lpstr>
      <vt:lpstr>TaxableIncomeFederal</vt:lpstr>
      <vt:lpstr>'Simple Tax Forecast Standalone'!TaxableIncomeState</vt:lpstr>
      <vt:lpstr>TaxableIncomeState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Rhodes</dc:creator>
  <cp:lastModifiedBy>Michael Kolins</cp:lastModifiedBy>
  <dcterms:created xsi:type="dcterms:W3CDTF">2021-05-20T20:57:23Z</dcterms:created>
  <dcterms:modified xsi:type="dcterms:W3CDTF">2021-06-07T03:05:30Z</dcterms:modified>
</cp:coreProperties>
</file>