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nstric/Documents/GitHub/AWS-Builder-EKS/pricing/"/>
    </mc:Choice>
  </mc:AlternateContent>
  <xr:revisionPtr revIDLastSave="0" documentId="13_ncr:1_{7564D03D-90BE-0A4C-ABAA-A72C48ABF396}" xr6:coauthVersionLast="46" xr6:coauthVersionMax="46" xr10:uidLastSave="{00000000-0000-0000-0000-000000000000}"/>
  <bookViews>
    <workbookView xWindow="5720" yWindow="860" windowWidth="35820" windowHeight="22680" activeTab="3" xr2:uid="{5EEDFC2B-18EE-8A46-B39A-959F96F9001C}"/>
  </bookViews>
  <sheets>
    <sheet name="Intro" sheetId="8" r:id="rId1"/>
    <sheet name="EKS-MN-Fargate" sheetId="1" r:id="rId2"/>
    <sheet name="ECR" sheetId="2" r:id="rId3"/>
    <sheet name="RDS" sheetId="3" r:id="rId4"/>
    <sheet name="Secrets Manager" sheetId="4" r:id="rId5"/>
    <sheet name="Cloud9" sheetId="5" r:id="rId6"/>
    <sheet name="Certificate Manager" sheetId="6" r:id="rId7"/>
    <sheet name="CloudWatch" sheetId="7" r:id="rId8"/>
    <sheet name="Sheet7" sheetId="9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8" i="3" l="1"/>
  <c r="B11" i="3"/>
  <c r="B16" i="3"/>
  <c r="B29" i="3"/>
  <c r="B38" i="3"/>
  <c r="B46" i="3"/>
  <c r="D12" i="8"/>
  <c r="C22" i="6"/>
  <c r="H7" i="8"/>
  <c r="G7" i="8"/>
  <c r="F7" i="8"/>
  <c r="E7" i="8"/>
  <c r="D7" i="8"/>
  <c r="D13" i="8"/>
  <c r="D11" i="8"/>
  <c r="D10" i="8"/>
  <c r="D8" i="8"/>
  <c r="D67" i="3"/>
  <c r="D62" i="3"/>
  <c r="D58" i="3"/>
  <c r="H45" i="3"/>
  <c r="J43" i="3"/>
  <c r="J44" i="3" s="1"/>
  <c r="J45" i="3" s="1"/>
  <c r="J46" i="3" s="1"/>
  <c r="D43" i="3" s="1"/>
  <c r="D46" i="3" s="1"/>
  <c r="D48" i="3" s="1"/>
  <c r="D72" i="3" s="1"/>
  <c r="D9" i="8" s="1"/>
  <c r="D37" i="3"/>
  <c r="D38" i="3" s="1"/>
  <c r="C10" i="6"/>
  <c r="C16" i="6" s="1"/>
  <c r="C17" i="6" s="1"/>
  <c r="C20" i="6"/>
  <c r="C7" i="6"/>
  <c r="H28" i="5"/>
  <c r="G15" i="5" s="1"/>
  <c r="G17" i="5" s="1"/>
  <c r="G18" i="5" s="1"/>
  <c r="F30" i="5"/>
  <c r="C7" i="5"/>
  <c r="C15" i="5" s="1"/>
  <c r="G12" i="5"/>
  <c r="C11" i="5"/>
  <c r="C12" i="5" s="1"/>
  <c r="D22" i="4"/>
  <c r="D15" i="4"/>
  <c r="D28" i="4" s="1"/>
  <c r="D16" i="1"/>
  <c r="D19" i="1" s="1"/>
  <c r="D5" i="3"/>
  <c r="D15" i="3" s="1"/>
  <c r="D16" i="3" s="1"/>
  <c r="D20" i="3"/>
  <c r="D21" i="3" s="1"/>
  <c r="D12" i="4"/>
  <c r="C26" i="7"/>
  <c r="D27" i="4"/>
  <c r="D4" i="4"/>
  <c r="D25" i="3"/>
  <c r="D9" i="3"/>
  <c r="D11" i="3" s="1"/>
  <c r="D19" i="2"/>
  <c r="D4" i="2"/>
  <c r="D6" i="2" s="1"/>
  <c r="D8" i="2" s="1"/>
  <c r="D10" i="2" s="1"/>
  <c r="D21" i="2" s="1"/>
  <c r="H74" i="1"/>
  <c r="O21" i="1"/>
  <c r="O20" i="1"/>
  <c r="O19" i="1"/>
  <c r="O17" i="1"/>
  <c r="O16" i="1"/>
  <c r="O15" i="1"/>
  <c r="H61" i="1"/>
  <c r="H63" i="1" s="1"/>
  <c r="O26" i="1"/>
  <c r="H30" i="1"/>
  <c r="H29" i="1"/>
  <c r="H28" i="1"/>
  <c r="H31" i="1" s="1"/>
  <c r="I16" i="1"/>
  <c r="I17" i="1" s="1"/>
  <c r="H25" i="1" s="1"/>
  <c r="D14" i="8" l="1"/>
  <c r="D68" i="3"/>
  <c r="D70" i="3" s="1"/>
  <c r="D26" i="3"/>
  <c r="D28" i="3" s="1"/>
  <c r="D29" i="3" s="1"/>
  <c r="D23" i="4"/>
  <c r="G20" i="5"/>
  <c r="G24" i="5" s="1"/>
  <c r="H29" i="5"/>
  <c r="G7" i="5" s="1"/>
  <c r="C13" i="5"/>
  <c r="D5" i="4"/>
  <c r="D6" i="4"/>
  <c r="D7" i="4"/>
  <c r="H40" i="1"/>
  <c r="H41" i="1" s="1"/>
  <c r="H43" i="1" s="1"/>
  <c r="H53" i="1"/>
  <c r="H65" i="1" s="1"/>
  <c r="H67" i="1" s="1"/>
  <c r="H35" i="1"/>
  <c r="H36" i="1" s="1"/>
  <c r="P16" i="1"/>
  <c r="P17" i="1" s="1"/>
  <c r="O27" i="1" s="1"/>
  <c r="D21" i="1" s="1"/>
  <c r="C20" i="5" l="1"/>
  <c r="G21" i="5"/>
  <c r="G23" i="5"/>
  <c r="G25" i="5"/>
  <c r="C17" i="5"/>
  <c r="C18" i="5" s="1"/>
  <c r="C28" i="7"/>
  <c r="D9" i="4"/>
  <c r="H45" i="1"/>
  <c r="D20" i="1" s="1"/>
  <c r="H55" i="1"/>
  <c r="H57" i="1"/>
  <c r="H59" i="1" s="1"/>
  <c r="C22" i="5" l="1"/>
  <c r="C24" i="5" s="1"/>
  <c r="D29" i="4"/>
  <c r="D31" i="4" s="1"/>
  <c r="D16" i="4"/>
  <c r="D18" i="4" s="1"/>
  <c r="H68" i="1"/>
  <c r="H70" i="1" s="1"/>
  <c r="H76" i="1" s="1"/>
  <c r="D22" i="1" l="1"/>
  <c r="D23" i="1" s="1"/>
  <c r="C7" i="7"/>
  <c r="D33" i="4"/>
</calcChain>
</file>

<file path=xl/sharedStrings.xml><?xml version="1.0" encoding="utf-8"?>
<sst xmlns="http://schemas.openxmlformats.org/spreadsheetml/2006/main" count="409" uniqueCount="279">
  <si>
    <t>EKS - max nuber pf pods / node (4 to 737)</t>
  </si>
  <si>
    <t>https://learnk8s.io/kubernetes-node-size</t>
  </si>
  <si>
    <t>In theory K8 supports up to 5k nodes</t>
  </si>
  <si>
    <t>In practice, 500 nodes may be non-trivial</t>
  </si>
  <si>
    <t>https://kubernetes.io/docs/setup/best-practices/cluster-large/#size-of-master-and-master-components</t>
  </si>
  <si>
    <t>Maximum of 100 pods per node</t>
  </si>
  <si>
    <t>No more than 15,000 total pods</t>
  </si>
  <si>
    <t>https://aws.amazon.com/blogs/containers/cost-optimization-for-kubernetes-on-aws/</t>
  </si>
  <si>
    <t># of applications</t>
  </si>
  <si>
    <t># of pods per application</t>
  </si>
  <si>
    <t>HA multiplyer</t>
  </si>
  <si>
    <t>pods</t>
  </si>
  <si>
    <t>Workload</t>
  </si>
  <si>
    <t>Number of Pods per node</t>
  </si>
  <si>
    <t>smaller # is a smaller box</t>
  </si>
  <si>
    <t>Number of nodes (#pods/pod to node ratio)</t>
  </si>
  <si>
    <t>cpu per pod (avg)</t>
  </si>
  <si>
    <t>mem per pod (avg)</t>
  </si>
  <si>
    <t>virtual  core</t>
  </si>
  <si>
    <t># Nodes</t>
  </si>
  <si>
    <t>total cpu (#pods * pod cpu requirement)</t>
  </si>
  <si>
    <t>total mem (#pods * pod mem requirement)</t>
  </si>
  <si>
    <t>GB</t>
  </si>
  <si>
    <t>MB</t>
  </si>
  <si>
    <t>Total number of nodes</t>
  </si>
  <si>
    <t>Instance Type</t>
  </si>
  <si>
    <t>us-east-2</t>
  </si>
  <si>
    <t>On-Demand</t>
  </si>
  <si>
    <t>730 hrs / month</t>
  </si>
  <si>
    <t>Constant usage</t>
  </si>
  <si>
    <t>t2.xlarge</t>
  </si>
  <si>
    <t>per month</t>
  </si>
  <si>
    <t>Storage per pod (avg)</t>
  </si>
  <si>
    <t>Total Per- Node Resource Need</t>
  </si>
  <si>
    <t>Number of pods (see above)</t>
  </si>
  <si>
    <t>Storage type and amount</t>
  </si>
  <si>
    <t>EKS Managed Nodes</t>
  </si>
  <si>
    <t>NO snapshots</t>
  </si>
  <si>
    <t>snapshot frequency</t>
  </si>
  <si>
    <t>Total</t>
  </si>
  <si>
    <t>Fargate pricing</t>
  </si>
  <si>
    <t># of EKS Clusters</t>
  </si>
  <si>
    <t>price per cluster</t>
  </si>
  <si>
    <t># hours per month</t>
  </si>
  <si>
    <t>$ per hour</t>
  </si>
  <si>
    <t>hrs/month</t>
  </si>
  <si>
    <t>Total Storage - block  (#pods * pod storage requirement)</t>
  </si>
  <si>
    <t>http://fargate-pricing-calculator.site.s3-website-us-east-1.amazonaws.com/</t>
  </si>
  <si>
    <t>https://calculator.aws/#/estimate</t>
  </si>
  <si>
    <t>CloudWatch</t>
  </si>
  <si>
    <t>Fargate workload</t>
  </si>
  <si>
    <t>CPU</t>
  </si>
  <si>
    <t>Ram</t>
  </si>
  <si>
    <t>per month / per pod</t>
  </si>
  <si>
    <t>Total per pod</t>
  </si>
  <si>
    <t>Total (total per pod * #pods)</t>
  </si>
  <si>
    <t>CloudWatch Metric @$0.30 per custom metric)</t>
  </si>
  <si>
    <t>Managed-Nodes</t>
  </si>
  <si>
    <t>EKS Cluster</t>
  </si>
  <si>
    <t>Total # of metrics (metrics/cluster * #icluster)</t>
  </si>
  <si>
    <t>Number of Nodes</t>
  </si>
  <si>
    <t>Number of metrics per node</t>
  </si>
  <si>
    <t>metrics</t>
  </si>
  <si>
    <t>https://aws.amazon.com/cloudwatch/pricing/</t>
  </si>
  <si>
    <t>number of pods</t>
  </si>
  <si>
    <t>number of metrics /pod</t>
  </si>
  <si>
    <t>Totall # of metrics = pods</t>
  </si>
  <si>
    <t>number of service names</t>
  </si>
  <si>
    <t>one service name per application</t>
  </si>
  <si>
    <t># of metrics per service</t>
  </si>
  <si>
    <t># of metrices - Services</t>
  </si>
  <si>
    <t>unique namespaces</t>
  </si>
  <si>
    <t>metrics per namespace</t>
  </si>
  <si>
    <t># metrics - namespace</t>
  </si>
  <si>
    <t>Total number of Cloudwatch metrics</t>
  </si>
  <si>
    <t>metrics/month</t>
  </si>
  <si>
    <t>Cloudwatch Logs</t>
  </si>
  <si>
    <t>Total Metrics Cost</t>
  </si>
  <si>
    <t>Manage nodes + virtual Fargate Nodes</t>
  </si>
  <si>
    <t># of instance</t>
  </si>
  <si>
    <t>Cost</t>
  </si>
  <si>
    <t>Total Storage Cost</t>
  </si>
  <si>
    <t xml:space="preserve">Amount of storage General Purpose SDD (gp2) </t>
  </si>
  <si>
    <t>per GB per month</t>
  </si>
  <si>
    <t>(per node * # nodes)</t>
  </si>
  <si>
    <t>Total # of metrics   -managed- nodes</t>
  </si>
  <si>
    <t>price per GB</t>
  </si>
  <si>
    <t>Total Log Cost</t>
  </si>
  <si>
    <t>GB per month</t>
  </si>
  <si>
    <t>Total CloudWatch Cost</t>
  </si>
  <si>
    <t>Fargate</t>
  </si>
  <si>
    <t>Total (per month)</t>
  </si>
  <si>
    <t>https://aws.amazon.com/ecr/pricing/</t>
  </si>
  <si>
    <t>ECR</t>
  </si>
  <si>
    <t>Number of applications</t>
  </si>
  <si>
    <t>number of images per application</t>
  </si>
  <si>
    <t>Ave Size of image</t>
  </si>
  <si>
    <t>Total  amount of storage</t>
  </si>
  <si>
    <t>Total number of images</t>
  </si>
  <si>
    <t xml:space="preserve">ECR storage price </t>
  </si>
  <si>
    <t>Total ECR Cost</t>
  </si>
  <si>
    <t>Data Xfer in price</t>
  </si>
  <si>
    <t>Data Xfer out price</t>
  </si>
  <si>
    <t>1 GB &lt; amount &lt; 9.999 TB</t>
  </si>
  <si>
    <t>amount &lt;= 1 GB</t>
  </si>
  <si>
    <t>Amount of Data Xfer out</t>
  </si>
  <si>
    <t xml:space="preserve">Data Xfer out cost </t>
  </si>
  <si>
    <t>https://aws.amazon.com/rds/aurora/pricing/</t>
  </si>
  <si>
    <t>Aurora</t>
  </si>
  <si>
    <t xml:space="preserve">Amount of Storage </t>
  </si>
  <si>
    <t>db.r5.xlarge</t>
  </si>
  <si>
    <t>per hour</t>
  </si>
  <si>
    <t xml:space="preserve">hours per month </t>
  </si>
  <si>
    <t xml:space="preserve">Per  instance price </t>
  </si>
  <si>
    <t># instances</t>
  </si>
  <si>
    <t>Total Instance Price</t>
  </si>
  <si>
    <t>Storage and IO</t>
  </si>
  <si>
    <t>Storage Rate</t>
  </si>
  <si>
    <t>Storage Cost</t>
  </si>
  <si>
    <t>I/O Rate</t>
  </si>
  <si>
    <t>per Million requests</t>
  </si>
  <si>
    <t>writes per second</t>
  </si>
  <si>
    <t>reads per second</t>
  </si>
  <si>
    <t>ave per month</t>
  </si>
  <si>
    <t>total requests</t>
  </si>
  <si>
    <t>min per hour</t>
  </si>
  <si>
    <t>sec per min</t>
  </si>
  <si>
    <t>second per month</t>
  </si>
  <si>
    <t>Total requests per month</t>
  </si>
  <si>
    <t>I/O Cost</t>
  </si>
  <si>
    <t>Total Aurora Cost</t>
  </si>
  <si>
    <t>Secrets Manager</t>
  </si>
  <si>
    <t>3-tier app</t>
  </si>
  <si>
    <t># load balancer</t>
  </si>
  <si>
    <t># web Servers</t>
  </si>
  <si>
    <t># app servers</t>
  </si>
  <si>
    <t># of database instances</t>
  </si>
  <si>
    <t xml:space="preserve">total number of servers </t>
  </si>
  <si>
    <t>number of credentials per db</t>
  </si>
  <si>
    <t>total #ssh keys</t>
  </si>
  <si>
    <t>Total number of credentials</t>
  </si>
  <si>
    <t>API calls per ssh key  per day</t>
  </si>
  <si>
    <t>API calls per db credential per day</t>
  </si>
  <si>
    <t>API Calls per db credential per month</t>
  </si>
  <si>
    <t>Total # of Creds and keys</t>
  </si>
  <si>
    <t>cost per secret</t>
  </si>
  <si>
    <t>Cred and Key costs</t>
  </si>
  <si>
    <t>maps to EKS model</t>
  </si>
  <si>
    <t>API Calls per ssh key per month</t>
  </si>
  <si>
    <t>Total number of ssh key API calls</t>
  </si>
  <si>
    <t>SSH Key</t>
  </si>
  <si>
    <t>DB Credentials</t>
  </si>
  <si>
    <t>Total # of DB Credential API calls</t>
  </si>
  <si>
    <t>Total # of API Calls (Cred + SSH)</t>
  </si>
  <si>
    <t xml:space="preserve">Cost per 10,000 API Calls </t>
  </si>
  <si>
    <t>Total Cost API Calls</t>
  </si>
  <si>
    <t>Total Secrets Manager Cost</t>
  </si>
  <si>
    <t>https://aws.amazon.com/secrets-manager/pricing/</t>
  </si>
  <si>
    <t>EBS Storage price</t>
  </si>
  <si>
    <t>Total EBS Storage price</t>
  </si>
  <si>
    <t>number of ssh keys per cluster</t>
  </si>
  <si>
    <t>consider provisioned IOPS</t>
  </si>
  <si>
    <t>need to add another scenario using provisioned and reserved instances</t>
  </si>
  <si>
    <t>consider reserved instances (1 year, 3 year)</t>
  </si>
  <si>
    <t>read to write ratio</t>
  </si>
  <si>
    <t>TB</t>
  </si>
  <si>
    <t>* 1024</t>
  </si>
  <si>
    <t>https://aws.amazon.com/cloud9/pricing/</t>
  </si>
  <si>
    <t>AWS Cloud9</t>
  </si>
  <si>
    <t>Cloud9 Managed Service</t>
  </si>
  <si>
    <t>Compute and Storage Resources</t>
  </si>
  <si>
    <t>EC2</t>
  </si>
  <si>
    <t>EBS</t>
  </si>
  <si>
    <t>hrs per month</t>
  </si>
  <si>
    <t>hrs</t>
  </si>
  <si>
    <t>Standard Shift</t>
  </si>
  <si>
    <t>Duty Cycle</t>
  </si>
  <si>
    <t># hours per shift</t>
  </si>
  <si>
    <t>#  of shifts</t>
  </si>
  <si>
    <t># of  staff per shift</t>
  </si>
  <si>
    <t>people</t>
  </si>
  <si>
    <t>per GB</t>
  </si>
  <si>
    <t>https://calculator.aws/#/</t>
  </si>
  <si>
    <t>t3.small (2 vCPU, 2 GiB)</t>
  </si>
  <si>
    <t xml:space="preserve">GP SSD (gp2) </t>
  </si>
  <si>
    <t>EBS price per GB</t>
  </si>
  <si>
    <t>Total number of people</t>
  </si>
  <si>
    <t>hrs per day</t>
  </si>
  <si>
    <t>yr</t>
  </si>
  <si>
    <t>days</t>
  </si>
  <si>
    <t>months</t>
  </si>
  <si>
    <t>hrs per yr</t>
  </si>
  <si>
    <t>days per month</t>
  </si>
  <si>
    <t xml:space="preserve"># compute resource hrs </t>
  </si>
  <si>
    <t>Cost compute resource per month</t>
  </si>
  <si>
    <t>Snapshots</t>
  </si>
  <si>
    <t>per day</t>
  </si>
  <si>
    <t>delta per snapshot</t>
  </si>
  <si>
    <t>Snapshots per month</t>
  </si>
  <si>
    <t>EBS cost</t>
  </si>
  <si>
    <t>Total volume of snapshots</t>
  </si>
  <si>
    <t>Snapshots cost per month</t>
  </si>
  <si>
    <t xml:space="preserve">Number of Compute and Storage Instances </t>
  </si>
  <si>
    <t>one per person</t>
  </si>
  <si>
    <t>Compute instance hours</t>
  </si>
  <si>
    <t>Total Compute Costs (instance hrs * instance hr/month)</t>
  </si>
  <si>
    <t>Total per instance Storage Cost</t>
  </si>
  <si>
    <t>Total Storage Costs</t>
  </si>
  <si>
    <t>Total Compute + Storage costs</t>
  </si>
  <si>
    <t>9 people compute</t>
  </si>
  <si>
    <t>9 people storage</t>
  </si>
  <si>
    <t>total</t>
  </si>
  <si>
    <t xml:space="preserve">Total AWS Cloud9 Costs </t>
  </si>
  <si>
    <t>https://aws.amazon.com/certificate-manager/pricing/</t>
  </si>
  <si>
    <t>AWS Certificate Manager</t>
  </si>
  <si>
    <t>Number of Private CA</t>
  </si>
  <si>
    <t>Total Cost Private CA</t>
  </si>
  <si>
    <t>Private CA</t>
  </si>
  <si>
    <t># Private Certificates</t>
  </si>
  <si>
    <t>Total # Certificates</t>
  </si>
  <si>
    <t>1-1,000</t>
  </si>
  <si>
    <t>1,001 - 10,000</t>
  </si>
  <si>
    <t>&gt; 10001</t>
  </si>
  <si>
    <t>Per Cert</t>
  </si>
  <si>
    <t>Certificates Issued month 1</t>
  </si>
  <si>
    <t>Certificates issued month 2</t>
  </si>
  <si>
    <t>Certificate Cost month 2</t>
  </si>
  <si>
    <t>Total Cost</t>
  </si>
  <si>
    <t>Public SSL/TLS certificates provisioned through AWS Certificate Manager are free. You pay only for the AWS resources you create to run your application.</t>
  </si>
  <si>
    <t>EKS + Fargate</t>
  </si>
  <si>
    <t xml:space="preserve">RDS </t>
  </si>
  <si>
    <t>Backtrack</t>
  </si>
  <si>
    <t>Version</t>
  </si>
  <si>
    <t>21.03.04</t>
  </si>
  <si>
    <t>Author</t>
  </si>
  <si>
    <t>Richard Ernst</t>
  </si>
  <si>
    <t>ernstric@amazon.com</t>
  </si>
  <si>
    <t>Normal - always on - one month instance @730hrs per month</t>
  </si>
  <si>
    <t>Total Storage and I/O Cost</t>
  </si>
  <si>
    <t>Backup Volume</t>
  </si>
  <si>
    <t>Backup Cost</t>
  </si>
  <si>
    <t>Backup  cost per GB</t>
  </si>
  <si>
    <t>Backup Storage</t>
  </si>
  <si>
    <t>beyond 24 hr retention</t>
  </si>
  <si>
    <t>Backup retention period</t>
  </si>
  <si>
    <t>Free backup Storage</t>
  </si>
  <si>
    <t>Backup storage subject to pricing</t>
  </si>
  <si>
    <t xml:space="preserve"> </t>
  </si>
  <si>
    <t>Average Statements</t>
  </si>
  <si>
    <t>per second</t>
  </si>
  <si>
    <t>Change records per statement</t>
  </si>
  <si>
    <t>Target Backtrack Window</t>
  </si>
  <si>
    <t>min per month</t>
  </si>
  <si>
    <t>seconds per month</t>
  </si>
  <si>
    <t>Backtrack cost</t>
  </si>
  <si>
    <t>Backtrack Price</t>
  </si>
  <si>
    <t>Snapshot Storage</t>
  </si>
  <si>
    <t>snaphot Volume</t>
  </si>
  <si>
    <t>Snaphot cost per GB</t>
  </si>
  <si>
    <t>Snaphot price</t>
  </si>
  <si>
    <t>Aurora Snapshot Exports to S3 Glacier</t>
  </si>
  <si>
    <t>S3 Glacier Bucket</t>
  </si>
  <si>
    <t>S3 Glacier Bucket Cost per GB</t>
  </si>
  <si>
    <t>Total S3 Glacier Price Per Snapshot</t>
  </si>
  <si>
    <t>Total Snaphot Export and S3 Glacier Price</t>
  </si>
  <si>
    <t>Number of Entire Volume Snapshots</t>
  </si>
  <si>
    <t>REST</t>
  </si>
  <si>
    <t>API Cost</t>
  </si>
  <si>
    <t>per api call</t>
  </si>
  <si>
    <t>Total API Price</t>
  </si>
  <si>
    <t>Total Snapshot export to S3 Glacier price</t>
  </si>
  <si>
    <t># of REST calls ()</t>
  </si>
  <si>
    <t>EKS</t>
  </si>
  <si>
    <t>RDS</t>
  </si>
  <si>
    <t>Cloud9</t>
  </si>
  <si>
    <t>Certificate Manager</t>
  </si>
  <si>
    <t>Rollup</t>
  </si>
  <si>
    <t xml:space="preserve"> *Certificate Cost month 1</t>
  </si>
  <si>
    <t>* price is per cert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</si>
</sst>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&quot;$&quot;#,##0.00"/>
    <numFmt numFmtId="166" formatCode="0.000"/>
    <numFmt numFmtId="167" formatCode="&quot;$&quot;#,##0.0000"/>
    <numFmt numFmtId="168" formatCode="_(&quot;$&quot;* #,##0.000000000_);_(&quot;$&quot;* \(#,##0.000000000\);_(&quot;$&quot;* &quot;-&quot;??_);_(@_)"/>
    <numFmt numFmtId="169" formatCode="&quot;$&quot;#,##0.00000"/>
  </numFmts>
  <fonts count="1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Calibri (Body)"/>
    </font>
    <font>
      <sz val="10"/>
      <color rgb="FF16191F"/>
      <name val="Amazon Ember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3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5" xfId="0" applyBorder="1"/>
    <xf numFmtId="165" fontId="0" fillId="0" borderId="0" xfId="0" applyNumberFormat="1" applyBorder="1" applyAlignment="1">
      <alignment horizontal="center"/>
    </xf>
    <xf numFmtId="0" fontId="0" fillId="0" borderId="6" xfId="0" applyBorder="1"/>
    <xf numFmtId="165" fontId="2" fillId="0" borderId="7" xfId="0" applyNumberFormat="1" applyFont="1" applyBorder="1" applyAlignment="1">
      <alignment horizontal="center"/>
    </xf>
    <xf numFmtId="0" fontId="0" fillId="0" borderId="8" xfId="0" applyBorder="1"/>
    <xf numFmtId="0" fontId="0" fillId="0" borderId="4" xfId="0" applyBorder="1"/>
    <xf numFmtId="0" fontId="2" fillId="0" borderId="4" xfId="0" applyFont="1" applyBorder="1" applyAlignment="1">
      <alignment horizontal="right"/>
    </xf>
    <xf numFmtId="0" fontId="0" fillId="2" borderId="0" xfId="0" applyFill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2" fillId="0" borderId="6" xfId="0" applyFont="1" applyBorder="1" applyAlignment="1">
      <alignment horizontal="right"/>
    </xf>
    <xf numFmtId="0" fontId="0" fillId="0" borderId="7" xfId="0" applyBorder="1"/>
    <xf numFmtId="165" fontId="2" fillId="0" borderId="7" xfId="0" applyNumberFormat="1" applyFont="1" applyBorder="1"/>
    <xf numFmtId="165" fontId="2" fillId="0" borderId="0" xfId="0" applyNumberFormat="1" applyFont="1" applyBorder="1" applyAlignment="1">
      <alignment horizontal="center"/>
    </xf>
    <xf numFmtId="0" fontId="2" fillId="0" borderId="0" xfId="0" applyFont="1" applyBorder="1"/>
    <xf numFmtId="0" fontId="1" fillId="0" borderId="0" xfId="0" applyFont="1" applyBorder="1"/>
    <xf numFmtId="0" fontId="0" fillId="0" borderId="1" xfId="0" applyBorder="1"/>
    <xf numFmtId="0" fontId="2" fillId="0" borderId="0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7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0" fontId="5" fillId="0" borderId="0" xfId="3"/>
    <xf numFmtId="0" fontId="2" fillId="0" borderId="8" xfId="0" applyFont="1" applyBorder="1"/>
    <xf numFmtId="0" fontId="0" fillId="0" borderId="0" xfId="0" applyFill="1" applyBorder="1" applyAlignment="1">
      <alignment horizontal="center"/>
    </xf>
    <xf numFmtId="0" fontId="0" fillId="0" borderId="0" xfId="0" applyFont="1" applyBorder="1"/>
    <xf numFmtId="165" fontId="2" fillId="0" borderId="0" xfId="0" applyNumberFormat="1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5" xfId="0" applyFont="1" applyBorder="1"/>
    <xf numFmtId="0" fontId="0" fillId="0" borderId="4" xfId="0" applyFill="1" applyBorder="1" applyAlignment="1">
      <alignment horizontal="right"/>
    </xf>
    <xf numFmtId="0" fontId="0" fillId="0" borderId="4" xfId="0" applyFont="1" applyBorder="1" applyAlignment="1">
      <alignment horizontal="right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3" fillId="0" borderId="4" xfId="0" applyFont="1" applyBorder="1" applyAlignment="1">
      <alignment horizontal="right"/>
    </xf>
    <xf numFmtId="0" fontId="0" fillId="0" borderId="0" xfId="0" applyFill="1" applyBorder="1"/>
    <xf numFmtId="0" fontId="2" fillId="0" borderId="10" xfId="0" applyFont="1" applyFill="1" applyBorder="1" applyAlignment="1">
      <alignment horizontal="right"/>
    </xf>
    <xf numFmtId="0" fontId="2" fillId="0" borderId="4" xfId="0" applyFont="1" applyFill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0" fillId="0" borderId="10" xfId="0" applyFill="1" applyBorder="1" applyAlignment="1">
      <alignment horizontal="right"/>
    </xf>
    <xf numFmtId="0" fontId="6" fillId="0" borderId="6" xfId="0" applyFont="1" applyFill="1" applyBorder="1" applyAlignment="1">
      <alignment horizontal="right"/>
    </xf>
    <xf numFmtId="165" fontId="6" fillId="0" borderId="7" xfId="0" applyNumberFormat="1" applyFont="1" applyBorder="1" applyAlignment="1">
      <alignment horizontal="center"/>
    </xf>
    <xf numFmtId="165" fontId="0" fillId="0" borderId="0" xfId="0" applyNumberFormat="1"/>
    <xf numFmtId="165" fontId="0" fillId="0" borderId="9" xfId="0" applyNumberFormat="1" applyBorder="1"/>
    <xf numFmtId="0" fontId="7" fillId="0" borderId="1" xfId="0" applyFont="1" applyBorder="1" applyAlignment="1">
      <alignment horizontal="right"/>
    </xf>
    <xf numFmtId="165" fontId="0" fillId="0" borderId="3" xfId="0" applyNumberFormat="1" applyBorder="1"/>
    <xf numFmtId="0" fontId="7" fillId="0" borderId="4" xfId="0" applyFont="1" applyBorder="1" applyAlignment="1">
      <alignment horizontal="right"/>
    </xf>
    <xf numFmtId="165" fontId="0" fillId="0" borderId="5" xfId="0" applyNumberFormat="1" applyBorder="1"/>
    <xf numFmtId="0" fontId="7" fillId="0" borderId="10" xfId="0" applyFont="1" applyBorder="1" applyAlignment="1">
      <alignment horizontal="right"/>
    </xf>
    <xf numFmtId="165" fontId="0" fillId="0" borderId="11" xfId="0" applyNumberFormat="1" applyBorder="1"/>
    <xf numFmtId="0" fontId="6" fillId="0" borderId="6" xfId="0" applyFont="1" applyBorder="1" applyAlignment="1">
      <alignment horizontal="right"/>
    </xf>
    <xf numFmtId="165" fontId="2" fillId="0" borderId="8" xfId="0" applyNumberFormat="1" applyFont="1" applyBorder="1"/>
    <xf numFmtId="0" fontId="8" fillId="0" borderId="1" xfId="0" applyFont="1" applyBorder="1" applyAlignment="1">
      <alignment horizontal="right"/>
    </xf>
    <xf numFmtId="165" fontId="0" fillId="0" borderId="0" xfId="0" applyNumberFormat="1" applyBorder="1"/>
    <xf numFmtId="3" fontId="0" fillId="0" borderId="0" xfId="0" applyNumberFormat="1" applyBorder="1"/>
    <xf numFmtId="165" fontId="0" fillId="0" borderId="0" xfId="0" applyNumberFormat="1" applyFont="1" applyBorder="1"/>
    <xf numFmtId="165" fontId="2" fillId="0" borderId="9" xfId="0" applyNumberFormat="1" applyFont="1" applyBorder="1"/>
    <xf numFmtId="0" fontId="0" fillId="2" borderId="0" xfId="0" applyFill="1" applyBorder="1"/>
    <xf numFmtId="0" fontId="0" fillId="2" borderId="4" xfId="0" applyFill="1" applyBorder="1" applyAlignment="1">
      <alignment horizontal="right"/>
    </xf>
    <xf numFmtId="165" fontId="0" fillId="2" borderId="0" xfId="0" applyNumberFormat="1" applyFill="1" applyBorder="1"/>
    <xf numFmtId="3" fontId="0" fillId="0" borderId="0" xfId="0" applyNumberFormat="1" applyFill="1" applyBorder="1"/>
    <xf numFmtId="0" fontId="2" fillId="0" borderId="9" xfId="0" applyFont="1" applyBorder="1"/>
    <xf numFmtId="3" fontId="2" fillId="0" borderId="9" xfId="0" applyNumberFormat="1" applyFont="1" applyBorder="1"/>
    <xf numFmtId="1" fontId="0" fillId="0" borderId="0" xfId="0" applyNumberFormat="1" applyBorder="1"/>
    <xf numFmtId="0" fontId="0" fillId="0" borderId="10" xfId="0" applyBorder="1" applyAlignment="1">
      <alignment horizontal="right"/>
    </xf>
    <xf numFmtId="3" fontId="2" fillId="0" borderId="0" xfId="0" applyNumberFormat="1" applyFont="1" applyBorder="1"/>
    <xf numFmtId="0" fontId="2" fillId="0" borderId="10" xfId="0" applyFont="1" applyBorder="1" applyAlignment="1">
      <alignment horizontal="right"/>
    </xf>
    <xf numFmtId="1" fontId="9" fillId="0" borderId="0" xfId="0" applyNumberFormat="1" applyFont="1" applyBorder="1"/>
    <xf numFmtId="0" fontId="2" fillId="0" borderId="12" xfId="0" applyFont="1" applyBorder="1" applyAlignment="1">
      <alignment horizontal="right"/>
    </xf>
    <xf numFmtId="165" fontId="2" fillId="0" borderId="13" xfId="0" applyNumberFormat="1" applyFont="1" applyBorder="1"/>
    <xf numFmtId="0" fontId="0" fillId="0" borderId="14" xfId="0" applyBorder="1"/>
    <xf numFmtId="0" fontId="8" fillId="0" borderId="1" xfId="0" applyFont="1" applyBorder="1" applyAlignment="1">
      <alignment horizontal="left"/>
    </xf>
    <xf numFmtId="0" fontId="8" fillId="0" borderId="15" xfId="0" applyFont="1" applyBorder="1" applyAlignment="1">
      <alignment horizontal="left"/>
    </xf>
    <xf numFmtId="0" fontId="0" fillId="0" borderId="16" xfId="0" applyBorder="1"/>
    <xf numFmtId="0" fontId="0" fillId="0" borderId="17" xfId="0" applyBorder="1"/>
    <xf numFmtId="0" fontId="0" fillId="0" borderId="9" xfId="0" applyBorder="1"/>
    <xf numFmtId="3" fontId="2" fillId="0" borderId="0" xfId="0" applyNumberFormat="1" applyFont="1" applyFill="1" applyBorder="1"/>
    <xf numFmtId="0" fontId="2" fillId="0" borderId="9" xfId="0" applyFont="1" applyFill="1" applyBorder="1"/>
    <xf numFmtId="0" fontId="2" fillId="0" borderId="4" xfId="0" applyFont="1" applyFill="1" applyBorder="1" applyAlignment="1">
      <alignment horizontal="left" indent="1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166" fontId="0" fillId="0" borderId="0" xfId="0" applyNumberFormat="1" applyBorder="1"/>
    <xf numFmtId="0" fontId="0" fillId="2" borderId="9" xfId="0" applyFill="1" applyBorder="1"/>
    <xf numFmtId="0" fontId="0" fillId="0" borderId="1" xfId="0" applyBorder="1" applyAlignment="1">
      <alignment horizontal="right"/>
    </xf>
    <xf numFmtId="164" fontId="0" fillId="0" borderId="0" xfId="0" applyNumberFormat="1" applyBorder="1"/>
    <xf numFmtId="0" fontId="2" fillId="0" borderId="6" xfId="0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2" borderId="10" xfId="0" applyFill="1" applyBorder="1" applyAlignment="1">
      <alignment horizontal="right"/>
    </xf>
    <xf numFmtId="167" fontId="0" fillId="2" borderId="9" xfId="0" applyNumberFormat="1" applyFont="1" applyFill="1" applyBorder="1"/>
    <xf numFmtId="10" fontId="0" fillId="2" borderId="0" xfId="1" applyNumberFormat="1" applyFont="1" applyFill="1" applyBorder="1"/>
    <xf numFmtId="2" fontId="0" fillId="0" borderId="0" xfId="0" applyNumberFormat="1" applyBorder="1"/>
    <xf numFmtId="43" fontId="0" fillId="0" borderId="0" xfId="0" applyNumberFormat="1" applyBorder="1"/>
    <xf numFmtId="0" fontId="10" fillId="0" borderId="0" xfId="0" applyFont="1" applyFill="1" applyBorder="1"/>
    <xf numFmtId="0" fontId="11" fillId="0" borderId="4" xfId="0" applyFont="1" applyBorder="1" applyAlignment="1">
      <alignment horizontal="right"/>
    </xf>
    <xf numFmtId="165" fontId="11" fillId="0" borderId="0" xfId="0" applyNumberFormat="1" applyFont="1" applyBorder="1"/>
    <xf numFmtId="0" fontId="0" fillId="0" borderId="6" xfId="0" applyBorder="1" applyAlignment="1">
      <alignment horizontal="right"/>
    </xf>
    <xf numFmtId="3" fontId="0" fillId="0" borderId="4" xfId="0" applyNumberFormat="1" applyBorder="1" applyAlignment="1">
      <alignment horizontal="right"/>
    </xf>
    <xf numFmtId="0" fontId="0" fillId="0" borderId="0" xfId="0" applyBorder="1" applyAlignment="1">
      <alignment wrapText="1"/>
    </xf>
    <xf numFmtId="44" fontId="0" fillId="0" borderId="0" xfId="2" applyFont="1" applyBorder="1" applyAlignment="1">
      <alignment horizontal="center"/>
    </xf>
    <xf numFmtId="0" fontId="12" fillId="0" borderId="4" xfId="0" applyFont="1" applyBorder="1"/>
    <xf numFmtId="0" fontId="0" fillId="0" borderId="5" xfId="0" applyFill="1" applyBorder="1"/>
    <xf numFmtId="0" fontId="0" fillId="0" borderId="7" xfId="0" applyFill="1" applyBorder="1"/>
    <xf numFmtId="168" fontId="13" fillId="0" borderId="9" xfId="2" applyNumberFormat="1" applyFont="1" applyBorder="1"/>
    <xf numFmtId="0" fontId="0" fillId="0" borderId="4" xfId="0" applyFont="1" applyFill="1" applyBorder="1" applyAlignment="1">
      <alignment horizontal="right"/>
    </xf>
    <xf numFmtId="0" fontId="0" fillId="0" borderId="10" xfId="0" applyFont="1" applyFill="1" applyBorder="1" applyAlignment="1">
      <alignment horizontal="right"/>
    </xf>
    <xf numFmtId="44" fontId="2" fillId="0" borderId="0" xfId="0" applyNumberFormat="1" applyFont="1" applyBorder="1"/>
    <xf numFmtId="167" fontId="0" fillId="0" borderId="0" xfId="0" applyNumberFormat="1" applyFont="1" applyBorder="1"/>
    <xf numFmtId="0" fontId="0" fillId="0" borderId="9" xfId="0" applyFill="1" applyBorder="1"/>
    <xf numFmtId="169" fontId="0" fillId="0" borderId="0" xfId="0" applyNumberFormat="1" applyFont="1" applyBorder="1"/>
    <xf numFmtId="167" fontId="2" fillId="0" borderId="9" xfId="0" applyNumberFormat="1" applyFont="1" applyBorder="1"/>
    <xf numFmtId="165" fontId="2" fillId="0" borderId="7" xfId="0" applyNumberFormat="1" applyFont="1" applyFill="1" applyBorder="1"/>
    <xf numFmtId="44" fontId="0" fillId="0" borderId="3" xfId="2" applyFont="1" applyBorder="1"/>
    <xf numFmtId="44" fontId="0" fillId="0" borderId="5" xfId="2" applyFont="1" applyBorder="1"/>
    <xf numFmtId="44" fontId="0" fillId="0" borderId="11" xfId="2" applyFont="1" applyBorder="1"/>
    <xf numFmtId="44" fontId="0" fillId="0" borderId="8" xfId="2" applyFont="1" applyBorder="1"/>
    <xf numFmtId="165" fontId="2" fillId="0" borderId="0" xfId="0" applyNumberFormat="1" applyFont="1"/>
    <xf numFmtId="10" fontId="0" fillId="0" borderId="0" xfId="0" applyNumberFormat="1"/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ernstric@amazon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ws.amazon.com/cloudwatch/pricing/" TargetMode="External"/><Relationship Id="rId2" Type="http://schemas.openxmlformats.org/officeDocument/2006/relationships/hyperlink" Target="http://fargate-pricing-calculator.site.s3-website-us-east-1.amazonaws.com/" TargetMode="External"/><Relationship Id="rId1" Type="http://schemas.openxmlformats.org/officeDocument/2006/relationships/hyperlink" Target="https://calculator.aws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aws.amazon.com/ecr/pricing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calculator.aws/" TargetMode="External"/><Relationship Id="rId1" Type="http://schemas.openxmlformats.org/officeDocument/2006/relationships/hyperlink" Target="https://aws.amazon.com/rds/aurora/pricing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aws.amazon.com/secrets-manager/pricing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aws.amazon.com/cloud9/pricing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aws.amazon.com/certificate-manager/pricing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aws.amazon.com/cloudwatch/prici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D211F-3A15-2D4B-BA90-E2ADEAE743C0}">
  <dimension ref="A1:H14"/>
  <sheetViews>
    <sheetView zoomScale="120" zoomScaleNormal="120" workbookViewId="0">
      <selection activeCell="N26" sqref="N26"/>
    </sheetView>
  </sheetViews>
  <sheetFormatPr baseColWidth="10" defaultRowHeight="16" x14ac:dyDescent="0.2"/>
  <cols>
    <col min="3" max="3" width="17.83203125" customWidth="1"/>
  </cols>
  <sheetData>
    <row r="1" spans="1:8" x14ac:dyDescent="0.2">
      <c r="A1" t="s">
        <v>232</v>
      </c>
      <c r="B1" t="s">
        <v>233</v>
      </c>
    </row>
    <row r="3" spans="1:8" x14ac:dyDescent="0.2">
      <c r="A3" t="s">
        <v>234</v>
      </c>
      <c r="B3" t="s">
        <v>235</v>
      </c>
    </row>
    <row r="4" spans="1:8" x14ac:dyDescent="0.2">
      <c r="B4" s="37" t="s">
        <v>236</v>
      </c>
    </row>
    <row r="6" spans="1:8" ht="17" thickBot="1" x14ac:dyDescent="0.25">
      <c r="B6" t="s">
        <v>276</v>
      </c>
    </row>
    <row r="7" spans="1:8" x14ac:dyDescent="0.2">
      <c r="C7" s="105" t="s">
        <v>272</v>
      </c>
      <c r="D7" s="133">
        <f>'EKS-MN-Fargate'!D19+'EKS-MN-Fargate'!D20+'EKS-MN-Fargate'!D21</f>
        <v>4125.67</v>
      </c>
      <c r="E7">
        <f>'EKS-MN-Fargate'!D19</f>
        <v>73</v>
      </c>
      <c r="F7">
        <f>'EKS-MN-Fargate'!D20</f>
        <v>2182.3500000000004</v>
      </c>
      <c r="G7">
        <f>'EKS-MN-Fargate'!D21</f>
        <v>1870.32</v>
      </c>
      <c r="H7">
        <f>SUM(E7:G7)</f>
        <v>4125.67</v>
      </c>
    </row>
    <row r="8" spans="1:8" x14ac:dyDescent="0.2">
      <c r="C8" s="7" t="s">
        <v>93</v>
      </c>
      <c r="D8" s="134">
        <f>ECR!D21</f>
        <v>10</v>
      </c>
    </row>
    <row r="9" spans="1:8" x14ac:dyDescent="0.2">
      <c r="C9" s="7" t="s">
        <v>273</v>
      </c>
      <c r="D9" s="134">
        <f>RDS!D72</f>
        <v>2180.6025460000001</v>
      </c>
    </row>
    <row r="10" spans="1:8" x14ac:dyDescent="0.2">
      <c r="C10" s="7" t="s">
        <v>131</v>
      </c>
      <c r="D10" s="134">
        <f>'Secrets Manager'!D33</f>
        <v>2.4183000000000003</v>
      </c>
    </row>
    <row r="11" spans="1:8" x14ac:dyDescent="0.2">
      <c r="C11" s="7" t="s">
        <v>274</v>
      </c>
      <c r="D11" s="134">
        <f>Cloud9!C24</f>
        <v>48.466999999999999</v>
      </c>
    </row>
    <row r="12" spans="1:8" x14ac:dyDescent="0.2">
      <c r="C12" s="7" t="s">
        <v>275</v>
      </c>
      <c r="D12" s="134">
        <f>'Certificate Manager'!C22</f>
        <v>400</v>
      </c>
    </row>
    <row r="13" spans="1:8" x14ac:dyDescent="0.2">
      <c r="C13" s="81" t="s">
        <v>49</v>
      </c>
      <c r="D13" s="135">
        <f>'EKS-MN-Fargate'!H76</f>
        <v>420.03500000000003</v>
      </c>
    </row>
    <row r="14" spans="1:8" ht="17" thickBot="1" x14ac:dyDescent="0.25">
      <c r="C14" s="117" t="s">
        <v>39</v>
      </c>
      <c r="D14" s="136">
        <f>SUM(D7:D13)</f>
        <v>7187.1928459999999</v>
      </c>
    </row>
  </sheetData>
  <hyperlinks>
    <hyperlink ref="B4" r:id="rId1" xr:uid="{D979CE81-CFC0-F948-9A1E-0BEBDFB421E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BF14B-0124-4B48-A35F-51EF12A015A9}">
  <dimension ref="A1:Q84"/>
  <sheetViews>
    <sheetView topLeftCell="A2" zoomScale="120" zoomScaleNormal="120" workbookViewId="0">
      <selection activeCell="C29" sqref="A29:C29"/>
    </sheetView>
  </sheetViews>
  <sheetFormatPr baseColWidth="10" defaultRowHeight="16" x14ac:dyDescent="0.2"/>
  <cols>
    <col min="2" max="2" width="4.33203125" customWidth="1"/>
    <col min="3" max="3" width="24.5" customWidth="1"/>
    <col min="6" max="6" width="2.5" customWidth="1"/>
    <col min="7" max="7" width="46.5" customWidth="1"/>
    <col min="8" max="8" width="11" style="2" customWidth="1"/>
    <col min="9" max="9" width="6.33203125" customWidth="1"/>
    <col min="10" max="10" width="13" customWidth="1"/>
    <col min="11" max="11" width="15.83203125" customWidth="1"/>
    <col min="12" max="12" width="3" customWidth="1"/>
    <col min="13" max="13" width="26" customWidth="1"/>
    <col min="15" max="15" width="11" customWidth="1"/>
  </cols>
  <sheetData>
    <row r="1" spans="1:17" x14ac:dyDescent="0.2">
      <c r="A1" t="s">
        <v>1</v>
      </c>
    </row>
    <row r="2" spans="1:17" x14ac:dyDescent="0.2">
      <c r="A2" t="s">
        <v>4</v>
      </c>
    </row>
    <row r="3" spans="1:17" x14ac:dyDescent="0.2">
      <c r="A3" s="1" t="s">
        <v>7</v>
      </c>
    </row>
    <row r="4" spans="1:17" x14ac:dyDescent="0.2">
      <c r="A4" s="37" t="s">
        <v>182</v>
      </c>
    </row>
    <row r="6" spans="1:17" x14ac:dyDescent="0.2">
      <c r="A6" t="s">
        <v>2</v>
      </c>
    </row>
    <row r="7" spans="1:17" x14ac:dyDescent="0.2">
      <c r="A7" t="s">
        <v>3</v>
      </c>
    </row>
    <row r="8" spans="1:17" x14ac:dyDescent="0.2">
      <c r="A8" t="s">
        <v>5</v>
      </c>
    </row>
    <row r="9" spans="1:17" x14ac:dyDescent="0.2">
      <c r="A9" t="s">
        <v>0</v>
      </c>
      <c r="B9" t="s">
        <v>14</v>
      </c>
    </row>
    <row r="10" spans="1:17" x14ac:dyDescent="0.2">
      <c r="A10" t="s">
        <v>6</v>
      </c>
      <c r="L10" s="1"/>
    </row>
    <row r="11" spans="1:17" ht="17" thickBot="1" x14ac:dyDescent="0.25">
      <c r="G11" s="37" t="s">
        <v>48</v>
      </c>
      <c r="L11" s="1"/>
      <c r="M11" s="37" t="s">
        <v>47</v>
      </c>
    </row>
    <row r="12" spans="1:17" ht="21" x14ac:dyDescent="0.25">
      <c r="C12" s="33" t="s">
        <v>36</v>
      </c>
      <c r="D12" s="4"/>
      <c r="E12" s="6"/>
      <c r="G12" s="33" t="s">
        <v>36</v>
      </c>
      <c r="H12" s="4"/>
      <c r="I12" s="5"/>
      <c r="J12" s="42" t="s">
        <v>27</v>
      </c>
      <c r="K12" s="43" t="s">
        <v>29</v>
      </c>
      <c r="L12" s="9"/>
      <c r="M12" s="27"/>
      <c r="N12" s="32" t="s">
        <v>50</v>
      </c>
      <c r="O12" s="5"/>
      <c r="P12" s="5"/>
      <c r="Q12" s="6"/>
    </row>
    <row r="13" spans="1:17" x14ac:dyDescent="0.2">
      <c r="C13" s="7" t="s">
        <v>41</v>
      </c>
      <c r="D13" s="17">
        <v>1</v>
      </c>
      <c r="E13" s="10"/>
      <c r="G13" s="15"/>
      <c r="H13" s="8"/>
      <c r="I13" s="9"/>
      <c r="J13" s="40" t="s">
        <v>26</v>
      </c>
      <c r="K13" s="44" t="s">
        <v>28</v>
      </c>
      <c r="L13" s="9"/>
      <c r="M13" s="15"/>
      <c r="N13" s="9"/>
      <c r="O13" s="9"/>
      <c r="P13" s="9"/>
      <c r="Q13" s="10"/>
    </row>
    <row r="14" spans="1:17" x14ac:dyDescent="0.2">
      <c r="C14" s="7" t="s">
        <v>42</v>
      </c>
      <c r="D14" s="11">
        <v>0.1</v>
      </c>
      <c r="E14" s="10" t="s">
        <v>44</v>
      </c>
      <c r="G14" s="16" t="s">
        <v>12</v>
      </c>
      <c r="H14" s="8"/>
      <c r="I14" s="9"/>
      <c r="J14" s="9"/>
      <c r="K14" s="10"/>
      <c r="L14" s="9"/>
      <c r="M14" s="15"/>
      <c r="N14" s="28" t="s">
        <v>12</v>
      </c>
      <c r="O14" s="8"/>
      <c r="P14" s="9"/>
      <c r="Q14" s="10"/>
    </row>
    <row r="15" spans="1:17" x14ac:dyDescent="0.2">
      <c r="C15" s="7" t="s">
        <v>43</v>
      </c>
      <c r="D15" s="8">
        <v>730</v>
      </c>
      <c r="E15" s="10" t="s">
        <v>45</v>
      </c>
      <c r="G15" s="7" t="s">
        <v>8</v>
      </c>
      <c r="H15" s="17">
        <v>5</v>
      </c>
      <c r="I15" s="9"/>
      <c r="J15" s="9"/>
      <c r="K15" s="10"/>
      <c r="L15" s="9"/>
      <c r="M15" s="15"/>
      <c r="N15" s="29" t="s">
        <v>8</v>
      </c>
      <c r="O15" s="39">
        <f>H15</f>
        <v>5</v>
      </c>
      <c r="P15" s="9"/>
      <c r="Q15" s="10"/>
    </row>
    <row r="16" spans="1:17" ht="17" thickBot="1" x14ac:dyDescent="0.25">
      <c r="C16" s="12"/>
      <c r="D16" s="13">
        <f>(D14*D15)*D13</f>
        <v>73</v>
      </c>
      <c r="E16" s="38" t="s">
        <v>31</v>
      </c>
      <c r="G16" s="7" t="s">
        <v>9</v>
      </c>
      <c r="H16" s="17">
        <v>6</v>
      </c>
      <c r="I16" s="9">
        <f>H16*H15</f>
        <v>30</v>
      </c>
      <c r="J16" s="9" t="s">
        <v>11</v>
      </c>
      <c r="K16" s="10"/>
      <c r="L16" s="9"/>
      <c r="M16" s="15"/>
      <c r="N16" s="29" t="s">
        <v>9</v>
      </c>
      <c r="O16" s="39">
        <f>H16</f>
        <v>6</v>
      </c>
      <c r="P16" s="9">
        <f>O16*O15</f>
        <v>30</v>
      </c>
      <c r="Q16" s="10" t="s">
        <v>11</v>
      </c>
    </row>
    <row r="17" spans="3:17" x14ac:dyDescent="0.2">
      <c r="D17" s="2"/>
      <c r="G17" s="7" t="s">
        <v>10</v>
      </c>
      <c r="H17" s="17">
        <v>2</v>
      </c>
      <c r="I17" s="9">
        <f>I16*H17</f>
        <v>60</v>
      </c>
      <c r="J17" s="9" t="s">
        <v>11</v>
      </c>
      <c r="K17" s="10"/>
      <c r="L17" s="9"/>
      <c r="M17" s="15"/>
      <c r="N17" s="29" t="s">
        <v>10</v>
      </c>
      <c r="O17" s="39">
        <f>H17</f>
        <v>2</v>
      </c>
      <c r="P17" s="9">
        <f>P16*O17</f>
        <v>60</v>
      </c>
      <c r="Q17" s="10" t="s">
        <v>11</v>
      </c>
    </row>
    <row r="18" spans="3:17" ht="17" thickBot="1" x14ac:dyDescent="0.25">
      <c r="G18" s="7"/>
      <c r="H18" s="8"/>
      <c r="I18" s="9"/>
      <c r="J18" s="9"/>
      <c r="K18" s="10"/>
      <c r="L18" s="9"/>
      <c r="M18" s="15"/>
      <c r="N18" s="29"/>
      <c r="O18" s="39"/>
      <c r="P18" s="9"/>
      <c r="Q18" s="10"/>
    </row>
    <row r="19" spans="3:17" ht="19" x14ac:dyDescent="0.25">
      <c r="C19" s="61" t="s">
        <v>58</v>
      </c>
      <c r="D19" s="62">
        <f>D16</f>
        <v>73</v>
      </c>
      <c r="G19" s="7" t="s">
        <v>16</v>
      </c>
      <c r="H19" s="17">
        <v>1</v>
      </c>
      <c r="I19" s="9" t="s">
        <v>18</v>
      </c>
      <c r="J19" s="9"/>
      <c r="K19" s="10"/>
      <c r="L19" s="9"/>
      <c r="M19" s="15"/>
      <c r="N19" s="29" t="s">
        <v>16</v>
      </c>
      <c r="O19" s="39">
        <f>H19</f>
        <v>1</v>
      </c>
      <c r="P19" s="9" t="s">
        <v>18</v>
      </c>
      <c r="Q19" s="10"/>
    </row>
    <row r="20" spans="3:17" ht="19" x14ac:dyDescent="0.25">
      <c r="C20" s="63" t="s">
        <v>57</v>
      </c>
      <c r="D20" s="64">
        <f>H45</f>
        <v>2182.3500000000004</v>
      </c>
      <c r="G20" s="7" t="s">
        <v>17</v>
      </c>
      <c r="H20" s="17">
        <v>500</v>
      </c>
      <c r="I20" s="9" t="s">
        <v>23</v>
      </c>
      <c r="J20" s="9"/>
      <c r="K20" s="10"/>
      <c r="L20" s="9"/>
      <c r="M20" s="15"/>
      <c r="N20" s="29" t="s">
        <v>17</v>
      </c>
      <c r="O20" s="39">
        <f>H20</f>
        <v>500</v>
      </c>
      <c r="P20" s="9" t="s">
        <v>23</v>
      </c>
      <c r="Q20" s="10"/>
    </row>
    <row r="21" spans="3:17" ht="19" x14ac:dyDescent="0.25">
      <c r="C21" s="63" t="s">
        <v>90</v>
      </c>
      <c r="D21" s="64">
        <f>O27</f>
        <v>1870.32</v>
      </c>
      <c r="G21" s="7" t="s">
        <v>32</v>
      </c>
      <c r="H21" s="17">
        <v>25</v>
      </c>
      <c r="I21" s="9" t="s">
        <v>22</v>
      </c>
      <c r="J21" s="9"/>
      <c r="K21" s="10"/>
      <c r="L21" s="9"/>
      <c r="M21" s="15"/>
      <c r="N21" s="29" t="s">
        <v>32</v>
      </c>
      <c r="O21" s="39">
        <f>H21</f>
        <v>25</v>
      </c>
      <c r="P21" s="9" t="s">
        <v>22</v>
      </c>
      <c r="Q21" s="10"/>
    </row>
    <row r="22" spans="3:17" ht="19" x14ac:dyDescent="0.25">
      <c r="C22" s="65" t="s">
        <v>49</v>
      </c>
      <c r="D22" s="66">
        <f>H76</f>
        <v>420.03500000000003</v>
      </c>
      <c r="G22" s="7"/>
      <c r="H22" s="8"/>
      <c r="I22" s="9"/>
      <c r="J22" s="9"/>
      <c r="K22" s="10"/>
      <c r="L22" s="9"/>
      <c r="M22" s="15"/>
      <c r="N22" s="9"/>
      <c r="O22" s="9"/>
      <c r="P22" s="9"/>
      <c r="Q22" s="10"/>
    </row>
    <row r="23" spans="3:17" ht="20" thickBot="1" x14ac:dyDescent="0.3">
      <c r="C23" s="67" t="s">
        <v>91</v>
      </c>
      <c r="D23" s="68">
        <f>SUM(D19:D22)</f>
        <v>4545.7049999999999</v>
      </c>
      <c r="G23" s="16" t="s">
        <v>19</v>
      </c>
      <c r="H23" s="8"/>
      <c r="I23" s="9"/>
      <c r="J23" s="9"/>
      <c r="K23" s="10"/>
      <c r="L23" s="9"/>
      <c r="M23" s="15"/>
      <c r="N23" s="30" t="s">
        <v>40</v>
      </c>
      <c r="O23" s="11"/>
      <c r="P23" s="9"/>
      <c r="Q23" s="10"/>
    </row>
    <row r="24" spans="3:17" x14ac:dyDescent="0.2">
      <c r="G24" s="7" t="s">
        <v>13</v>
      </c>
      <c r="H24" s="17">
        <v>4</v>
      </c>
      <c r="I24" s="9"/>
      <c r="J24" s="9"/>
      <c r="K24" s="10"/>
      <c r="L24" s="9"/>
      <c r="M24" s="15"/>
      <c r="N24" s="30" t="s">
        <v>51</v>
      </c>
      <c r="O24" s="11">
        <v>29.55</v>
      </c>
      <c r="P24" s="9"/>
      <c r="Q24" s="10"/>
    </row>
    <row r="25" spans="3:17" x14ac:dyDescent="0.2">
      <c r="G25" s="7" t="s">
        <v>15</v>
      </c>
      <c r="H25" s="18">
        <f>I17/H24</f>
        <v>15</v>
      </c>
      <c r="I25" s="9" t="s">
        <v>24</v>
      </c>
      <c r="J25" s="9"/>
      <c r="K25" s="10"/>
      <c r="L25" s="9"/>
      <c r="M25" s="15"/>
      <c r="N25" s="30" t="s">
        <v>52</v>
      </c>
      <c r="O25" s="11">
        <v>1.6220000000000001</v>
      </c>
      <c r="P25" s="9"/>
      <c r="Q25" s="10"/>
    </row>
    <row r="26" spans="3:17" x14ac:dyDescent="0.2">
      <c r="G26" s="15"/>
      <c r="H26" s="8"/>
      <c r="I26" s="9"/>
      <c r="J26" s="9"/>
      <c r="K26" s="10"/>
      <c r="L26" s="9"/>
      <c r="M26" s="15"/>
      <c r="N26" s="28" t="s">
        <v>54</v>
      </c>
      <c r="O26" s="24">
        <f>O24+O25</f>
        <v>31.172000000000001</v>
      </c>
      <c r="P26" s="9" t="s">
        <v>53</v>
      </c>
      <c r="Q26" s="10"/>
    </row>
    <row r="27" spans="3:17" ht="17" thickBot="1" x14ac:dyDescent="0.25">
      <c r="G27" s="16" t="s">
        <v>33</v>
      </c>
      <c r="H27" s="8"/>
      <c r="I27" s="9"/>
      <c r="J27" s="9"/>
      <c r="K27" s="10"/>
      <c r="L27" s="9"/>
      <c r="M27" s="12"/>
      <c r="N27" s="31" t="s">
        <v>55</v>
      </c>
      <c r="O27" s="23">
        <f>O26*P17</f>
        <v>1870.32</v>
      </c>
      <c r="P27" s="22"/>
      <c r="Q27" s="14"/>
    </row>
    <row r="28" spans="3:17" x14ac:dyDescent="0.2">
      <c r="G28" s="7" t="s">
        <v>34</v>
      </c>
      <c r="H28" s="19">
        <f>H24</f>
        <v>4</v>
      </c>
      <c r="I28" s="9"/>
      <c r="J28" s="9"/>
      <c r="K28" s="10"/>
      <c r="L28" s="9"/>
    </row>
    <row r="29" spans="3:17" x14ac:dyDescent="0.2">
      <c r="G29" s="7" t="s">
        <v>20</v>
      </c>
      <c r="H29" s="19">
        <f>H24*H19</f>
        <v>4</v>
      </c>
      <c r="I29" s="9" t="s">
        <v>18</v>
      </c>
      <c r="J29" s="9"/>
      <c r="K29" s="10"/>
      <c r="L29" s="9"/>
    </row>
    <row r="30" spans="3:17" x14ac:dyDescent="0.2">
      <c r="G30" s="7" t="s">
        <v>21</v>
      </c>
      <c r="H30" s="20">
        <f>H24*H20</f>
        <v>2000</v>
      </c>
      <c r="I30" s="9" t="s">
        <v>23</v>
      </c>
      <c r="J30" s="9"/>
      <c r="K30" s="10"/>
      <c r="L30" s="9"/>
    </row>
    <row r="31" spans="3:17" x14ac:dyDescent="0.2">
      <c r="G31" s="7" t="s">
        <v>46</v>
      </c>
      <c r="H31" s="20">
        <f>H28*H21</f>
        <v>100</v>
      </c>
      <c r="I31" s="9" t="s">
        <v>22</v>
      </c>
      <c r="J31" s="9"/>
      <c r="K31" s="10"/>
      <c r="L31" s="9"/>
    </row>
    <row r="32" spans="3:17" x14ac:dyDescent="0.2">
      <c r="G32" s="15"/>
      <c r="H32" s="8"/>
      <c r="I32" s="9"/>
      <c r="J32" s="9"/>
      <c r="K32" s="10"/>
      <c r="L32" s="9"/>
    </row>
    <row r="33" spans="7:16" x14ac:dyDescent="0.2">
      <c r="G33" s="16" t="s">
        <v>25</v>
      </c>
      <c r="H33" s="8"/>
      <c r="I33" s="9"/>
      <c r="J33" s="9"/>
      <c r="K33" s="10"/>
      <c r="L33" s="9"/>
    </row>
    <row r="34" spans="7:16" x14ac:dyDescent="0.2">
      <c r="G34" s="7" t="s">
        <v>30</v>
      </c>
      <c r="H34" s="11">
        <v>135.49</v>
      </c>
      <c r="I34" s="9"/>
      <c r="J34" s="9"/>
      <c r="K34" s="10"/>
      <c r="L34" s="9"/>
      <c r="M34" s="9"/>
      <c r="N34" s="28"/>
      <c r="O34" s="8"/>
      <c r="P34" s="9"/>
    </row>
    <row r="35" spans="7:16" x14ac:dyDescent="0.2">
      <c r="G35" s="45" t="s">
        <v>79</v>
      </c>
      <c r="H35" s="19">
        <f>H25</f>
        <v>15</v>
      </c>
      <c r="I35" s="9"/>
      <c r="J35" s="9"/>
      <c r="K35" s="10"/>
      <c r="L35" s="9"/>
      <c r="M35" s="9"/>
      <c r="N35" s="29"/>
      <c r="O35" s="19"/>
      <c r="P35" s="9"/>
    </row>
    <row r="36" spans="7:16" x14ac:dyDescent="0.2">
      <c r="G36" s="45" t="s">
        <v>80</v>
      </c>
      <c r="H36" s="24">
        <f>H35*H34</f>
        <v>2032.3500000000001</v>
      </c>
      <c r="I36" s="9"/>
      <c r="J36" s="24"/>
      <c r="K36" s="10"/>
      <c r="L36" s="9"/>
      <c r="M36" s="9"/>
      <c r="N36" s="29"/>
      <c r="O36" s="19"/>
      <c r="P36" s="9"/>
    </row>
    <row r="37" spans="7:16" x14ac:dyDescent="0.2">
      <c r="G37" s="15"/>
      <c r="H37" s="8"/>
      <c r="I37" s="9"/>
      <c r="J37" s="9"/>
      <c r="K37" s="10"/>
      <c r="L37" s="9"/>
      <c r="M37" s="9"/>
      <c r="N37" s="29"/>
      <c r="O37" s="20"/>
      <c r="P37" s="9"/>
    </row>
    <row r="38" spans="7:16" x14ac:dyDescent="0.2">
      <c r="G38" s="16" t="s">
        <v>35</v>
      </c>
      <c r="H38" s="8"/>
      <c r="I38" s="9"/>
      <c r="J38" s="25"/>
      <c r="K38" s="10"/>
      <c r="L38" s="9"/>
      <c r="M38" s="9"/>
      <c r="N38" s="29"/>
      <c r="O38" s="20"/>
      <c r="P38" s="9"/>
    </row>
    <row r="39" spans="7:16" x14ac:dyDescent="0.2">
      <c r="G39" s="46" t="s">
        <v>158</v>
      </c>
      <c r="H39" s="11">
        <v>0.1</v>
      </c>
      <c r="I39" s="9" t="s">
        <v>83</v>
      </c>
      <c r="J39" s="25"/>
      <c r="K39" s="10"/>
      <c r="L39" s="9"/>
      <c r="M39" s="9"/>
      <c r="N39" s="29"/>
      <c r="O39" s="20"/>
      <c r="P39" s="9"/>
    </row>
    <row r="40" spans="7:16" x14ac:dyDescent="0.2">
      <c r="G40" s="7" t="s">
        <v>82</v>
      </c>
      <c r="H40" s="20">
        <f>H31*H25</f>
        <v>1500</v>
      </c>
      <c r="I40" s="9" t="s">
        <v>22</v>
      </c>
      <c r="J40" s="9" t="s">
        <v>84</v>
      </c>
      <c r="K40" s="10"/>
      <c r="L40" s="9"/>
      <c r="M40" s="9"/>
      <c r="N40" s="29"/>
      <c r="O40" s="20"/>
      <c r="P40" s="9"/>
    </row>
    <row r="41" spans="7:16" x14ac:dyDescent="0.2">
      <c r="G41" s="46" t="s">
        <v>159</v>
      </c>
      <c r="H41" s="11">
        <f>H39*H40</f>
        <v>150</v>
      </c>
      <c r="I41" s="9" t="s">
        <v>31</v>
      </c>
      <c r="J41" s="11"/>
      <c r="K41" s="10"/>
      <c r="L41" s="9"/>
    </row>
    <row r="42" spans="7:16" x14ac:dyDescent="0.2">
      <c r="G42" s="7" t="s">
        <v>38</v>
      </c>
      <c r="H42" s="11">
        <v>0</v>
      </c>
      <c r="I42" s="40" t="s">
        <v>37</v>
      </c>
      <c r="J42" s="11"/>
      <c r="K42" s="10"/>
      <c r="L42" s="26"/>
    </row>
    <row r="43" spans="7:16" x14ac:dyDescent="0.2">
      <c r="G43" s="45" t="s">
        <v>81</v>
      </c>
      <c r="H43" s="24">
        <f>H42+H41</f>
        <v>150</v>
      </c>
      <c r="I43" s="9"/>
      <c r="J43" s="9"/>
      <c r="K43" s="10"/>
      <c r="L43" s="9"/>
    </row>
    <row r="44" spans="7:16" x14ac:dyDescent="0.2">
      <c r="G44" s="15"/>
      <c r="H44" s="8"/>
      <c r="I44" s="9"/>
      <c r="J44" s="9"/>
      <c r="K44" s="10"/>
      <c r="L44" s="9"/>
    </row>
    <row r="45" spans="7:16" ht="17" thickBot="1" x14ac:dyDescent="0.25">
      <c r="G45" s="21" t="s">
        <v>39</v>
      </c>
      <c r="H45" s="23">
        <f>H36+H43</f>
        <v>2182.3500000000004</v>
      </c>
      <c r="I45" s="22"/>
      <c r="J45" s="22"/>
      <c r="K45" s="14"/>
    </row>
    <row r="48" spans="7:16" ht="17" thickBot="1" x14ac:dyDescent="0.25">
      <c r="G48" s="37" t="s">
        <v>63</v>
      </c>
    </row>
    <row r="49" spans="7:11" ht="21" x14ac:dyDescent="0.25">
      <c r="G49" s="33" t="s">
        <v>49</v>
      </c>
      <c r="H49" s="4"/>
      <c r="I49" s="5"/>
      <c r="J49" s="5"/>
      <c r="K49" s="6"/>
    </row>
    <row r="50" spans="7:11" ht="21" x14ac:dyDescent="0.25">
      <c r="G50" s="51" t="s">
        <v>58</v>
      </c>
      <c r="H50" s="8"/>
      <c r="I50" s="9"/>
      <c r="J50" s="9"/>
      <c r="K50" s="10"/>
    </row>
    <row r="51" spans="7:11" x14ac:dyDescent="0.2">
      <c r="G51" s="16" t="s">
        <v>59</v>
      </c>
      <c r="H51" s="48">
        <v>24</v>
      </c>
      <c r="I51" s="52" t="s">
        <v>62</v>
      </c>
      <c r="J51" s="9"/>
      <c r="K51" s="10"/>
    </row>
    <row r="52" spans="7:11" x14ac:dyDescent="0.2">
      <c r="G52" s="15"/>
      <c r="H52" s="8"/>
      <c r="I52" s="9"/>
      <c r="J52" s="9"/>
      <c r="K52" s="10"/>
    </row>
    <row r="53" spans="7:11" x14ac:dyDescent="0.2">
      <c r="G53" s="7" t="s">
        <v>60</v>
      </c>
      <c r="H53" s="19">
        <f>H25*2</f>
        <v>30</v>
      </c>
      <c r="I53" s="9" t="s">
        <v>78</v>
      </c>
      <c r="J53" s="9"/>
      <c r="K53" s="10"/>
    </row>
    <row r="54" spans="7:11" x14ac:dyDescent="0.2">
      <c r="G54" s="7" t="s">
        <v>61</v>
      </c>
      <c r="H54" s="8">
        <v>8</v>
      </c>
      <c r="I54" s="9"/>
      <c r="J54" s="9"/>
      <c r="K54" s="10"/>
    </row>
    <row r="55" spans="7:11" x14ac:dyDescent="0.2">
      <c r="G55" s="16" t="s">
        <v>85</v>
      </c>
      <c r="H55" s="48">
        <f>H53*H54</f>
        <v>240</v>
      </c>
      <c r="I55" s="52" t="s">
        <v>62</v>
      </c>
      <c r="J55" s="9"/>
      <c r="K55" s="10"/>
    </row>
    <row r="56" spans="7:11" x14ac:dyDescent="0.2">
      <c r="G56" s="7"/>
      <c r="H56" s="8"/>
      <c r="I56" s="9"/>
      <c r="J56" s="9"/>
      <c r="K56" s="10"/>
    </row>
    <row r="57" spans="7:11" x14ac:dyDescent="0.2">
      <c r="G57" s="7" t="s">
        <v>64</v>
      </c>
      <c r="H57" s="8">
        <f>H53*4</f>
        <v>120</v>
      </c>
      <c r="I57" s="9"/>
      <c r="J57" s="9"/>
      <c r="K57" s="10"/>
    </row>
    <row r="58" spans="7:11" x14ac:dyDescent="0.2">
      <c r="G58" s="7" t="s">
        <v>65</v>
      </c>
      <c r="H58" s="8">
        <v>9</v>
      </c>
      <c r="I58" s="9"/>
      <c r="J58" s="9"/>
      <c r="K58" s="10"/>
    </row>
    <row r="59" spans="7:11" x14ac:dyDescent="0.2">
      <c r="G59" s="16" t="s">
        <v>66</v>
      </c>
      <c r="H59" s="48">
        <f>H57*H58</f>
        <v>1080</v>
      </c>
      <c r="I59" s="52" t="s">
        <v>62</v>
      </c>
      <c r="J59" s="9"/>
      <c r="K59" s="10"/>
    </row>
    <row r="60" spans="7:11" x14ac:dyDescent="0.2">
      <c r="G60" s="7"/>
      <c r="H60" s="8"/>
      <c r="I60" s="9"/>
      <c r="J60" s="9"/>
      <c r="K60" s="10"/>
    </row>
    <row r="61" spans="7:11" x14ac:dyDescent="0.2">
      <c r="G61" s="7" t="s">
        <v>67</v>
      </c>
      <c r="H61" s="8">
        <f>H15</f>
        <v>5</v>
      </c>
      <c r="I61" s="9" t="s">
        <v>68</v>
      </c>
      <c r="J61" s="9"/>
      <c r="K61" s="10"/>
    </row>
    <row r="62" spans="7:11" x14ac:dyDescent="0.2">
      <c r="G62" s="7" t="s">
        <v>69</v>
      </c>
      <c r="H62" s="8">
        <v>6</v>
      </c>
      <c r="I62" s="9"/>
      <c r="J62" s="9"/>
      <c r="K62" s="10"/>
    </row>
    <row r="63" spans="7:11" x14ac:dyDescent="0.2">
      <c r="G63" s="16" t="s">
        <v>70</v>
      </c>
      <c r="H63" s="48">
        <f>H62*H61</f>
        <v>30</v>
      </c>
      <c r="I63" s="52" t="s">
        <v>62</v>
      </c>
      <c r="J63" s="9"/>
      <c r="K63" s="10"/>
    </row>
    <row r="64" spans="7:11" x14ac:dyDescent="0.2">
      <c r="G64" s="7"/>
      <c r="H64" s="8"/>
      <c r="I64" s="9"/>
      <c r="J64" s="9"/>
      <c r="K64" s="10"/>
    </row>
    <row r="65" spans="7:11" x14ac:dyDescent="0.2">
      <c r="G65" s="45" t="s">
        <v>71</v>
      </c>
      <c r="H65" s="8">
        <f>H53/15</f>
        <v>2</v>
      </c>
      <c r="I65" s="9"/>
      <c r="J65" s="9"/>
      <c r="K65" s="10"/>
    </row>
    <row r="66" spans="7:11" x14ac:dyDescent="0.2">
      <c r="G66" s="45" t="s">
        <v>72</v>
      </c>
      <c r="H66" s="8">
        <v>6</v>
      </c>
      <c r="I66" s="9"/>
      <c r="J66" s="9"/>
      <c r="K66" s="10"/>
    </row>
    <row r="67" spans="7:11" x14ac:dyDescent="0.2">
      <c r="G67" s="53" t="s">
        <v>73</v>
      </c>
      <c r="H67" s="49">
        <f>H65*H66</f>
        <v>12</v>
      </c>
      <c r="I67" s="52" t="s">
        <v>62</v>
      </c>
      <c r="J67" s="9"/>
      <c r="K67" s="10"/>
    </row>
    <row r="68" spans="7:11" x14ac:dyDescent="0.2">
      <c r="G68" s="54" t="s">
        <v>74</v>
      </c>
      <c r="H68" s="55">
        <f>H51+H55+H59+H63+H67</f>
        <v>1386</v>
      </c>
      <c r="I68" s="9" t="s">
        <v>75</v>
      </c>
      <c r="J68" s="9"/>
      <c r="K68" s="10"/>
    </row>
    <row r="69" spans="7:11" x14ac:dyDescent="0.2">
      <c r="G69" s="7" t="s">
        <v>56</v>
      </c>
      <c r="H69" s="11">
        <v>0.3</v>
      </c>
      <c r="I69" s="9" t="s">
        <v>31</v>
      </c>
      <c r="J69" s="9"/>
      <c r="K69" s="10"/>
    </row>
    <row r="70" spans="7:11" x14ac:dyDescent="0.2">
      <c r="G70" s="54" t="s">
        <v>77</v>
      </c>
      <c r="H70" s="24">
        <f>H68*H69</f>
        <v>415.8</v>
      </c>
      <c r="I70" s="25" t="s">
        <v>31</v>
      </c>
      <c r="J70" s="9"/>
      <c r="K70" s="10"/>
    </row>
    <row r="71" spans="7:11" x14ac:dyDescent="0.2">
      <c r="G71" s="45"/>
      <c r="H71" s="8"/>
      <c r="I71" s="9"/>
      <c r="J71" s="9"/>
      <c r="K71" s="10"/>
    </row>
    <row r="72" spans="7:11" x14ac:dyDescent="0.2">
      <c r="G72" s="54" t="s">
        <v>76</v>
      </c>
      <c r="H72" s="8">
        <v>8.4700000000000006</v>
      </c>
      <c r="I72" s="9" t="s">
        <v>88</v>
      </c>
      <c r="J72" s="9"/>
      <c r="K72" s="10"/>
    </row>
    <row r="73" spans="7:11" x14ac:dyDescent="0.2">
      <c r="G73" s="56" t="s">
        <v>86</v>
      </c>
      <c r="H73" s="50">
        <v>0.5</v>
      </c>
      <c r="I73" s="9"/>
      <c r="J73" s="9"/>
      <c r="K73" s="10"/>
    </row>
    <row r="74" spans="7:11" x14ac:dyDescent="0.2">
      <c r="G74" s="54" t="s">
        <v>87</v>
      </c>
      <c r="H74" s="24">
        <f>H73*H72</f>
        <v>4.2350000000000003</v>
      </c>
      <c r="I74" s="9" t="s">
        <v>31</v>
      </c>
      <c r="J74" s="9"/>
      <c r="K74" s="10"/>
    </row>
    <row r="75" spans="7:11" x14ac:dyDescent="0.2">
      <c r="G75" s="45"/>
      <c r="H75" s="8"/>
      <c r="I75" s="9"/>
      <c r="J75" s="9"/>
      <c r="K75" s="10"/>
    </row>
    <row r="76" spans="7:11" ht="20" thickBot="1" x14ac:dyDescent="0.3">
      <c r="G76" s="57" t="s">
        <v>89</v>
      </c>
      <c r="H76" s="58">
        <f>H70+H74</f>
        <v>420.03500000000003</v>
      </c>
      <c r="I76" s="22" t="s">
        <v>31</v>
      </c>
      <c r="J76" s="22"/>
      <c r="K76" s="14"/>
    </row>
    <row r="77" spans="7:11" ht="21" x14ac:dyDescent="0.25">
      <c r="G77" s="34"/>
      <c r="H77" s="8"/>
      <c r="I77" s="9"/>
      <c r="J77" s="9"/>
    </row>
    <row r="78" spans="7:11" x14ac:dyDescent="0.2">
      <c r="G78" s="29"/>
      <c r="H78" s="19"/>
      <c r="I78" s="9"/>
      <c r="J78" s="26"/>
    </row>
    <row r="79" spans="7:11" x14ac:dyDescent="0.2">
      <c r="G79" s="29"/>
      <c r="H79" s="8"/>
      <c r="I79" s="9"/>
      <c r="J79" s="9"/>
    </row>
    <row r="80" spans="7:11" x14ac:dyDescent="0.2">
      <c r="G80" s="29"/>
      <c r="H80" s="8"/>
      <c r="I80" s="9"/>
      <c r="J80" s="9"/>
    </row>
    <row r="81" spans="7:10" x14ac:dyDescent="0.2">
      <c r="G81" s="29"/>
      <c r="H81" s="8"/>
      <c r="I81" s="9"/>
      <c r="J81" s="9"/>
    </row>
    <row r="82" spans="7:10" x14ac:dyDescent="0.2">
      <c r="G82" s="28"/>
      <c r="H82" s="8"/>
      <c r="I82" s="9"/>
      <c r="J82" s="9"/>
    </row>
    <row r="83" spans="7:10" x14ac:dyDescent="0.2">
      <c r="G83" s="29"/>
      <c r="H83" s="11"/>
      <c r="I83" s="9"/>
      <c r="J83" s="9"/>
    </row>
    <row r="84" spans="7:10" x14ac:dyDescent="0.2">
      <c r="G84" s="29"/>
      <c r="H84" s="24"/>
      <c r="I84" s="9"/>
      <c r="J84" s="9"/>
    </row>
  </sheetData>
  <hyperlinks>
    <hyperlink ref="G11" r:id="rId1" location="/estimate" xr:uid="{3AEFA067-BC18-5E44-ABBB-41E25469FAFC}"/>
    <hyperlink ref="M11" r:id="rId2" xr:uid="{B0330316-4E7C-1740-82AD-07C2A4807A75}"/>
    <hyperlink ref="G48" r:id="rId3" xr:uid="{6DE2C841-F06D-1346-A281-96798EE66AD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D4AC4-ECC2-5949-992A-0F67942F787B}">
  <dimension ref="A1:E21"/>
  <sheetViews>
    <sheetView zoomScale="130" zoomScaleNormal="130" workbookViewId="0">
      <selection activeCell="B2" sqref="A2:B2"/>
    </sheetView>
  </sheetViews>
  <sheetFormatPr baseColWidth="10" defaultRowHeight="16" x14ac:dyDescent="0.2"/>
  <cols>
    <col min="2" max="2" width="12.33203125" customWidth="1"/>
    <col min="3" max="3" width="29.6640625" customWidth="1"/>
    <col min="5" max="5" width="17.5" customWidth="1"/>
  </cols>
  <sheetData>
    <row r="1" spans="1:5" x14ac:dyDescent="0.2">
      <c r="A1" s="37" t="s">
        <v>92</v>
      </c>
    </row>
    <row r="2" spans="1:5" ht="17" thickBot="1" x14ac:dyDescent="0.25">
      <c r="A2" s="37" t="s">
        <v>182</v>
      </c>
    </row>
    <row r="3" spans="1:5" ht="24" x14ac:dyDescent="0.3">
      <c r="C3" s="69" t="s">
        <v>93</v>
      </c>
      <c r="D3" s="5"/>
      <c r="E3" s="6"/>
    </row>
    <row r="4" spans="1:5" x14ac:dyDescent="0.2">
      <c r="C4" s="7" t="s">
        <v>94</v>
      </c>
      <c r="D4" s="9">
        <f>'EKS-MN-Fargate'!H15*2</f>
        <v>10</v>
      </c>
      <c r="E4" s="10"/>
    </row>
    <row r="5" spans="1:5" x14ac:dyDescent="0.2">
      <c r="C5" s="7" t="s">
        <v>95</v>
      </c>
      <c r="D5" s="74">
        <v>20</v>
      </c>
      <c r="E5" s="10"/>
    </row>
    <row r="6" spans="1:5" x14ac:dyDescent="0.2">
      <c r="C6" s="7" t="s">
        <v>98</v>
      </c>
      <c r="D6" s="9">
        <f>D4*D5</f>
        <v>200</v>
      </c>
      <c r="E6" s="10"/>
    </row>
    <row r="7" spans="1:5" x14ac:dyDescent="0.2">
      <c r="C7" s="7" t="s">
        <v>96</v>
      </c>
      <c r="D7" s="74">
        <v>0.5</v>
      </c>
      <c r="E7" s="10" t="s">
        <v>22</v>
      </c>
    </row>
    <row r="8" spans="1:5" x14ac:dyDescent="0.2">
      <c r="C8" s="7" t="s">
        <v>97</v>
      </c>
      <c r="D8" s="9">
        <f>D6*D7</f>
        <v>100</v>
      </c>
      <c r="E8" s="10" t="s">
        <v>22</v>
      </c>
    </row>
    <row r="9" spans="1:5" x14ac:dyDescent="0.2">
      <c r="C9" s="7" t="s">
        <v>99</v>
      </c>
      <c r="D9" s="70">
        <v>0.1</v>
      </c>
      <c r="E9" s="10" t="s">
        <v>83</v>
      </c>
    </row>
    <row r="10" spans="1:5" x14ac:dyDescent="0.2">
      <c r="C10" s="16" t="s">
        <v>100</v>
      </c>
      <c r="D10" s="41">
        <f>D8*D9</f>
        <v>10</v>
      </c>
      <c r="E10" s="10" t="s">
        <v>31</v>
      </c>
    </row>
    <row r="11" spans="1:5" x14ac:dyDescent="0.2">
      <c r="C11" s="15"/>
      <c r="D11" s="9"/>
      <c r="E11" s="10"/>
    </row>
    <row r="12" spans="1:5" x14ac:dyDescent="0.2">
      <c r="C12" s="7" t="s">
        <v>101</v>
      </c>
      <c r="D12" s="70">
        <v>0</v>
      </c>
      <c r="E12" s="10"/>
    </row>
    <row r="13" spans="1:5" x14ac:dyDescent="0.2">
      <c r="C13" s="15"/>
      <c r="D13" s="9"/>
      <c r="E13" s="10"/>
    </row>
    <row r="14" spans="1:5" x14ac:dyDescent="0.2">
      <c r="C14" s="7" t="s">
        <v>102</v>
      </c>
      <c r="D14" s="9"/>
      <c r="E14" s="10"/>
    </row>
    <row r="15" spans="1:5" x14ac:dyDescent="0.2">
      <c r="C15" s="7" t="s">
        <v>104</v>
      </c>
      <c r="D15" s="70">
        <v>0</v>
      </c>
      <c r="E15" s="10"/>
    </row>
    <row r="16" spans="1:5" x14ac:dyDescent="0.2">
      <c r="C16" s="7" t="s">
        <v>103</v>
      </c>
      <c r="D16" s="70">
        <v>0.09</v>
      </c>
      <c r="E16" s="10" t="s">
        <v>83</v>
      </c>
    </row>
    <row r="17" spans="3:5" x14ac:dyDescent="0.2">
      <c r="C17" s="7"/>
      <c r="D17" s="9"/>
      <c r="E17" s="10"/>
    </row>
    <row r="18" spans="3:5" x14ac:dyDescent="0.2">
      <c r="C18" s="7" t="s">
        <v>105</v>
      </c>
      <c r="D18" s="74">
        <v>0</v>
      </c>
      <c r="E18" s="10"/>
    </row>
    <row r="19" spans="3:5" x14ac:dyDescent="0.2">
      <c r="C19" s="7" t="s">
        <v>106</v>
      </c>
      <c r="D19" s="70">
        <f>D16*D18</f>
        <v>0</v>
      </c>
      <c r="E19" s="10" t="s">
        <v>31</v>
      </c>
    </row>
    <row r="20" spans="3:5" x14ac:dyDescent="0.2">
      <c r="C20" s="15"/>
      <c r="D20" s="9"/>
      <c r="E20" s="10"/>
    </row>
    <row r="21" spans="3:5" ht="17" thickBot="1" x14ac:dyDescent="0.25">
      <c r="C21" s="21" t="s">
        <v>100</v>
      </c>
      <c r="D21" s="23">
        <f>D10+D12+D19</f>
        <v>10</v>
      </c>
      <c r="E21" s="14"/>
    </row>
  </sheetData>
  <hyperlinks>
    <hyperlink ref="A1" r:id="rId1" xr:uid="{619DE179-F8FE-5F4F-8D71-C37D6524516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EAC72-BD1E-8343-A172-43BB1DB1C855}">
  <dimension ref="A1:M72"/>
  <sheetViews>
    <sheetView tabSelected="1" zoomScale="130" zoomScaleNormal="130" workbookViewId="0">
      <selection activeCell="B19" sqref="B19"/>
    </sheetView>
  </sheetViews>
  <sheetFormatPr baseColWidth="10" defaultRowHeight="16" x14ac:dyDescent="0.2"/>
  <cols>
    <col min="2" max="2" width="26.6640625" customWidth="1"/>
    <col min="3" max="3" width="34.33203125" customWidth="1"/>
    <col min="4" max="4" width="17.1640625" customWidth="1"/>
    <col min="5" max="5" width="21" customWidth="1"/>
    <col min="6" max="6" width="4.6640625" customWidth="1"/>
    <col min="7" max="7" width="4.83203125" customWidth="1"/>
    <col min="8" max="8" width="8.1640625" customWidth="1"/>
    <col min="9" max="9" width="15.1640625" bestFit="1" customWidth="1"/>
    <col min="10" max="10" width="17.6640625" customWidth="1"/>
  </cols>
  <sheetData>
    <row r="1" spans="1:8" x14ac:dyDescent="0.2">
      <c r="A1" s="37" t="s">
        <v>107</v>
      </c>
    </row>
    <row r="2" spans="1:8" ht="17" thickBot="1" x14ac:dyDescent="0.25">
      <c r="A2" s="37" t="s">
        <v>182</v>
      </c>
    </row>
    <row r="3" spans="1:8" ht="24" x14ac:dyDescent="0.3">
      <c r="C3" s="89" t="s">
        <v>108</v>
      </c>
      <c r="D3" s="90"/>
      <c r="E3" s="91"/>
      <c r="F3" s="9"/>
      <c r="H3" t="s">
        <v>161</v>
      </c>
    </row>
    <row r="4" spans="1:8" x14ac:dyDescent="0.2">
      <c r="C4" s="7" t="s">
        <v>109</v>
      </c>
      <c r="D4" s="74">
        <v>3</v>
      </c>
      <c r="E4" s="10" t="s">
        <v>165</v>
      </c>
      <c r="F4" s="9"/>
      <c r="H4" t="s">
        <v>163</v>
      </c>
    </row>
    <row r="5" spans="1:8" x14ac:dyDescent="0.2">
      <c r="C5" s="7"/>
      <c r="D5" s="77">
        <f>D4*1024</f>
        <v>3072</v>
      </c>
      <c r="E5" s="10" t="s">
        <v>22</v>
      </c>
      <c r="F5" s="9" t="s">
        <v>166</v>
      </c>
    </row>
    <row r="6" spans="1:8" x14ac:dyDescent="0.2">
      <c r="C6" s="16" t="s">
        <v>25</v>
      </c>
      <c r="D6" s="70"/>
      <c r="E6" s="10"/>
      <c r="F6" s="9"/>
      <c r="H6" t="s">
        <v>162</v>
      </c>
    </row>
    <row r="7" spans="1:8" x14ac:dyDescent="0.2">
      <c r="C7" s="75" t="s">
        <v>110</v>
      </c>
      <c r="D7" s="76">
        <v>0.57999999999999996</v>
      </c>
      <c r="E7" s="10" t="s">
        <v>111</v>
      </c>
      <c r="F7" s="9"/>
    </row>
    <row r="8" spans="1:8" x14ac:dyDescent="0.2">
      <c r="C8" s="7" t="s">
        <v>112</v>
      </c>
      <c r="D8" s="9">
        <v>730</v>
      </c>
      <c r="E8" s="10"/>
      <c r="F8" s="9"/>
    </row>
    <row r="9" spans="1:8" x14ac:dyDescent="0.2">
      <c r="C9" s="7" t="s">
        <v>113</v>
      </c>
      <c r="D9" s="72">
        <f>D7*D8</f>
        <v>423.4</v>
      </c>
      <c r="E9" s="10" t="s">
        <v>31</v>
      </c>
      <c r="F9" s="9"/>
    </row>
    <row r="10" spans="1:8" x14ac:dyDescent="0.2">
      <c r="C10" s="45" t="s">
        <v>114</v>
      </c>
      <c r="D10" s="9">
        <v>2</v>
      </c>
      <c r="E10" s="10"/>
      <c r="F10" s="9"/>
    </row>
    <row r="11" spans="1:8" x14ac:dyDescent="0.2">
      <c r="B11" s="138">
        <f>(D11/$D$48)</f>
        <v>0.39614622959807616</v>
      </c>
      <c r="C11" s="45" t="s">
        <v>115</v>
      </c>
      <c r="D11" s="41">
        <f>D10*D9</f>
        <v>846.8</v>
      </c>
      <c r="E11" s="10" t="s">
        <v>31</v>
      </c>
      <c r="F11" s="9"/>
    </row>
    <row r="12" spans="1:8" x14ac:dyDescent="0.2">
      <c r="C12" s="121"/>
      <c r="D12" s="9"/>
      <c r="E12" s="10"/>
      <c r="F12" s="9"/>
    </row>
    <row r="13" spans="1:8" x14ac:dyDescent="0.2">
      <c r="C13" s="54" t="s">
        <v>116</v>
      </c>
      <c r="D13" s="9"/>
      <c r="E13" s="10"/>
      <c r="F13" s="9"/>
    </row>
    <row r="14" spans="1:8" x14ac:dyDescent="0.2">
      <c r="C14" s="7" t="s">
        <v>117</v>
      </c>
      <c r="D14" s="70">
        <v>0.1</v>
      </c>
      <c r="E14" s="10" t="s">
        <v>83</v>
      </c>
      <c r="F14" s="9"/>
    </row>
    <row r="15" spans="1:8" x14ac:dyDescent="0.2">
      <c r="C15" s="7" t="s">
        <v>109</v>
      </c>
      <c r="D15" s="71">
        <f>D5</f>
        <v>3072</v>
      </c>
      <c r="E15" s="10" t="s">
        <v>22</v>
      </c>
      <c r="F15" s="9"/>
    </row>
    <row r="16" spans="1:8" x14ac:dyDescent="0.2">
      <c r="B16" s="138">
        <f>(D16/$D$48)</f>
        <v>0.14371294488961858</v>
      </c>
      <c r="C16" s="7" t="s">
        <v>118</v>
      </c>
      <c r="D16" s="41">
        <f>D14*D15</f>
        <v>307.20000000000005</v>
      </c>
      <c r="E16" s="10" t="s">
        <v>31</v>
      </c>
      <c r="F16" s="9"/>
    </row>
    <row r="17" spans="2:6" x14ac:dyDescent="0.2">
      <c r="C17" s="7"/>
      <c r="D17" s="41"/>
      <c r="E17" s="10"/>
      <c r="F17" s="9"/>
    </row>
    <row r="18" spans="2:6" x14ac:dyDescent="0.2">
      <c r="C18" s="7" t="s">
        <v>164</v>
      </c>
      <c r="D18" s="74">
        <v>4</v>
      </c>
      <c r="E18" s="10"/>
      <c r="F18" s="9"/>
    </row>
    <row r="19" spans="2:6" x14ac:dyDescent="0.2">
      <c r="C19" s="45" t="s">
        <v>121</v>
      </c>
      <c r="D19" s="74">
        <v>200</v>
      </c>
      <c r="E19" s="10" t="s">
        <v>123</v>
      </c>
      <c r="F19" s="9"/>
    </row>
    <row r="20" spans="2:6" x14ac:dyDescent="0.2">
      <c r="C20" s="45" t="s">
        <v>122</v>
      </c>
      <c r="D20" s="52">
        <f>D18*D19</f>
        <v>800</v>
      </c>
      <c r="E20" s="10" t="s">
        <v>123</v>
      </c>
      <c r="F20" s="9"/>
    </row>
    <row r="21" spans="2:6" x14ac:dyDescent="0.2">
      <c r="C21" s="45" t="s">
        <v>124</v>
      </c>
      <c r="D21" s="9">
        <f>D19+D20</f>
        <v>1000</v>
      </c>
      <c r="E21" s="10"/>
      <c r="F21" s="9"/>
    </row>
    <row r="22" spans="2:6" x14ac:dyDescent="0.2">
      <c r="C22" s="45" t="s">
        <v>45</v>
      </c>
      <c r="D22" s="9">
        <v>730</v>
      </c>
      <c r="E22" s="10"/>
      <c r="F22" s="9"/>
    </row>
    <row r="23" spans="2:6" x14ac:dyDescent="0.2">
      <c r="C23" s="45" t="s">
        <v>125</v>
      </c>
      <c r="D23" s="9">
        <v>60</v>
      </c>
      <c r="E23" s="10"/>
      <c r="F23" s="9"/>
    </row>
    <row r="24" spans="2:6" x14ac:dyDescent="0.2">
      <c r="C24" s="45" t="s">
        <v>126</v>
      </c>
      <c r="D24" s="9">
        <v>60</v>
      </c>
      <c r="E24" s="10"/>
    </row>
    <row r="25" spans="2:6" x14ac:dyDescent="0.2">
      <c r="C25" s="45" t="s">
        <v>127</v>
      </c>
      <c r="D25" s="71">
        <f>D24*D23*D22</f>
        <v>2628000</v>
      </c>
      <c r="E25" s="10"/>
    </row>
    <row r="26" spans="2:6" x14ac:dyDescent="0.2">
      <c r="C26" s="45" t="s">
        <v>128</v>
      </c>
      <c r="D26" s="71">
        <f>D21*D25</f>
        <v>2628000000</v>
      </c>
      <c r="E26" s="10"/>
    </row>
    <row r="27" spans="2:6" x14ac:dyDescent="0.2">
      <c r="C27" s="45" t="s">
        <v>119</v>
      </c>
      <c r="D27" s="70">
        <v>0.2</v>
      </c>
      <c r="E27" s="10" t="s">
        <v>120</v>
      </c>
    </row>
    <row r="28" spans="2:6" x14ac:dyDescent="0.2">
      <c r="C28" s="56" t="s">
        <v>129</v>
      </c>
      <c r="D28" s="73">
        <f>(D27*D26)/1000000</f>
        <v>525.6</v>
      </c>
      <c r="E28" s="10" t="s">
        <v>31</v>
      </c>
    </row>
    <row r="29" spans="2:6" x14ac:dyDescent="0.2">
      <c r="B29" s="138">
        <f>(D29/$D$48)</f>
        <v>0.38959681153670039</v>
      </c>
      <c r="C29" s="45" t="s">
        <v>238</v>
      </c>
      <c r="D29" s="41">
        <f>D28+D16</f>
        <v>832.80000000000007</v>
      </c>
      <c r="E29" s="10" t="s">
        <v>31</v>
      </c>
    </row>
    <row r="30" spans="2:6" x14ac:dyDescent="0.2">
      <c r="C30" s="15"/>
      <c r="D30" s="9"/>
      <c r="E30" s="10"/>
    </row>
    <row r="31" spans="2:6" x14ac:dyDescent="0.2">
      <c r="C31" s="15"/>
      <c r="D31" s="41"/>
      <c r="E31" s="10"/>
    </row>
    <row r="32" spans="2:6" x14ac:dyDescent="0.2">
      <c r="C32" s="54" t="s">
        <v>242</v>
      </c>
      <c r="D32" s="41"/>
      <c r="E32" s="10" t="s">
        <v>243</v>
      </c>
    </row>
    <row r="33" spans="2:13" x14ac:dyDescent="0.2">
      <c r="C33" s="45" t="s">
        <v>239</v>
      </c>
      <c r="D33" s="106">
        <v>3072</v>
      </c>
      <c r="E33" s="10" t="s">
        <v>22</v>
      </c>
    </row>
    <row r="34" spans="2:13" x14ac:dyDescent="0.2">
      <c r="C34" s="45" t="s">
        <v>241</v>
      </c>
      <c r="D34" s="72">
        <v>2.1000000000000001E-2</v>
      </c>
      <c r="E34" s="10" t="s">
        <v>83</v>
      </c>
    </row>
    <row r="35" spans="2:13" x14ac:dyDescent="0.2">
      <c r="C35" s="45" t="s">
        <v>244</v>
      </c>
      <c r="D35" s="74">
        <v>2</v>
      </c>
      <c r="E35" s="122" t="s">
        <v>189</v>
      </c>
    </row>
    <row r="36" spans="2:13" x14ac:dyDescent="0.2">
      <c r="C36" s="45" t="s">
        <v>245</v>
      </c>
      <c r="D36" s="9">
        <v>1</v>
      </c>
      <c r="E36" s="122" t="s">
        <v>189</v>
      </c>
    </row>
    <row r="37" spans="2:13" x14ac:dyDescent="0.2">
      <c r="C37" s="56" t="s">
        <v>246</v>
      </c>
      <c r="D37" s="92">
        <f>D35-D36</f>
        <v>1</v>
      </c>
      <c r="E37" s="122" t="s">
        <v>189</v>
      </c>
    </row>
    <row r="38" spans="2:13" x14ac:dyDescent="0.2">
      <c r="B38" s="138">
        <f>(D38/$D$48)</f>
        <v>3.01797184268199E-2</v>
      </c>
      <c r="C38" s="54" t="s">
        <v>240</v>
      </c>
      <c r="D38" s="41">
        <f>D33*D34*D37</f>
        <v>64.512</v>
      </c>
      <c r="E38" s="122" t="s">
        <v>31</v>
      </c>
      <c r="H38" t="s">
        <v>247</v>
      </c>
      <c r="I38" s="47"/>
      <c r="J38" s="47"/>
      <c r="K38" s="47"/>
      <c r="L38" s="47"/>
      <c r="M38" s="47"/>
    </row>
    <row r="39" spans="2:13" x14ac:dyDescent="0.2">
      <c r="C39" s="54"/>
      <c r="D39" s="41"/>
      <c r="E39" s="122"/>
      <c r="I39" s="47"/>
      <c r="J39" s="47"/>
      <c r="K39" s="47"/>
      <c r="L39" s="47"/>
      <c r="M39" s="47"/>
    </row>
    <row r="40" spans="2:13" x14ac:dyDescent="0.2">
      <c r="C40" s="54" t="s">
        <v>231</v>
      </c>
      <c r="D40" s="41"/>
      <c r="E40" s="122"/>
      <c r="I40" s="47"/>
      <c r="J40" s="47"/>
      <c r="K40" s="47"/>
      <c r="L40" s="47"/>
      <c r="M40" s="47"/>
    </row>
    <row r="41" spans="2:13" ht="17" thickBot="1" x14ac:dyDescent="0.25">
      <c r="C41" s="125" t="s">
        <v>248</v>
      </c>
      <c r="D41" s="9">
        <v>100</v>
      </c>
      <c r="E41" s="10" t="s">
        <v>249</v>
      </c>
    </row>
    <row r="42" spans="2:13" x14ac:dyDescent="0.2">
      <c r="C42" s="125" t="s">
        <v>250</v>
      </c>
      <c r="D42" s="9">
        <v>0.38</v>
      </c>
      <c r="E42" s="122"/>
      <c r="H42" s="27">
        <v>1</v>
      </c>
      <c r="I42" s="5" t="s">
        <v>188</v>
      </c>
      <c r="J42" s="5">
        <v>12</v>
      </c>
      <c r="K42" s="5" t="s">
        <v>190</v>
      </c>
      <c r="L42" s="6"/>
    </row>
    <row r="43" spans="2:13" x14ac:dyDescent="0.2">
      <c r="C43" s="125" t="s">
        <v>248</v>
      </c>
      <c r="D43" s="71">
        <f>D41*J46</f>
        <v>262800000</v>
      </c>
      <c r="E43" s="10" t="s">
        <v>31</v>
      </c>
      <c r="H43" s="15">
        <v>365</v>
      </c>
      <c r="I43" s="9" t="s">
        <v>189</v>
      </c>
      <c r="J43" s="103">
        <f>H43/J42</f>
        <v>30.416666666666668</v>
      </c>
      <c r="K43" s="9" t="s">
        <v>192</v>
      </c>
      <c r="L43" s="10"/>
    </row>
    <row r="44" spans="2:13" x14ac:dyDescent="0.2">
      <c r="B44" s="35"/>
      <c r="C44" s="125" t="s">
        <v>251</v>
      </c>
      <c r="D44" s="74">
        <v>72</v>
      </c>
      <c r="E44" s="122" t="s">
        <v>174</v>
      </c>
      <c r="H44" s="15">
        <v>24</v>
      </c>
      <c r="I44" s="9" t="s">
        <v>187</v>
      </c>
      <c r="J44" s="9">
        <f>J43*H44</f>
        <v>730</v>
      </c>
      <c r="K44" s="9" t="s">
        <v>173</v>
      </c>
      <c r="L44" s="10"/>
    </row>
    <row r="45" spans="2:13" x14ac:dyDescent="0.2">
      <c r="C45" s="126" t="s">
        <v>254</v>
      </c>
      <c r="D45" s="124">
        <v>1.2E-8</v>
      </c>
      <c r="E45" s="10" t="s">
        <v>31</v>
      </c>
      <c r="H45" s="15">
        <f>H44*H43</f>
        <v>8760</v>
      </c>
      <c r="I45" s="9" t="s">
        <v>191</v>
      </c>
      <c r="J45" s="9">
        <f>J44*60</f>
        <v>43800</v>
      </c>
      <c r="K45" s="9" t="s">
        <v>252</v>
      </c>
      <c r="L45" s="10"/>
    </row>
    <row r="46" spans="2:13" ht="17" thickBot="1" x14ac:dyDescent="0.25">
      <c r="B46" s="138">
        <f>(D46/$D$48)</f>
        <v>4.0364295548784943E-2</v>
      </c>
      <c r="C46" s="54" t="s">
        <v>255</v>
      </c>
      <c r="D46" s="127">
        <f>D42*D43*D44*D45</f>
        <v>86.282495999999995</v>
      </c>
      <c r="E46" s="10" t="s">
        <v>31</v>
      </c>
      <c r="H46" s="12"/>
      <c r="I46" s="22"/>
      <c r="J46" s="22">
        <f>J45*60</f>
        <v>2628000</v>
      </c>
      <c r="K46" s="123" t="s">
        <v>253</v>
      </c>
      <c r="L46" s="14"/>
    </row>
    <row r="47" spans="2:13" x14ac:dyDescent="0.2">
      <c r="C47" s="15"/>
      <c r="D47" s="9"/>
      <c r="E47" s="10"/>
    </row>
    <row r="48" spans="2:13" ht="17" thickBot="1" x14ac:dyDescent="0.25">
      <c r="B48" s="138">
        <f>SUM(B11:B47)</f>
        <v>1</v>
      </c>
      <c r="C48" s="21" t="s">
        <v>130</v>
      </c>
      <c r="D48" s="23">
        <f>D11+D16++D29+D38+D46</f>
        <v>2137.5944960000002</v>
      </c>
      <c r="E48" s="14" t="s">
        <v>31</v>
      </c>
    </row>
    <row r="50" spans="3:9" ht="17" thickBot="1" x14ac:dyDescent="0.25">
      <c r="H50" s="9"/>
      <c r="I50" s="9"/>
    </row>
    <row r="51" spans="3:9" ht="24" x14ac:dyDescent="0.3">
      <c r="C51" s="89" t="s">
        <v>260</v>
      </c>
      <c r="D51" s="90"/>
      <c r="E51" s="91"/>
      <c r="H51" s="9"/>
      <c r="I51" s="9"/>
    </row>
    <row r="52" spans="3:9" x14ac:dyDescent="0.2">
      <c r="C52" s="15" t="s">
        <v>265</v>
      </c>
      <c r="D52" s="74">
        <v>1</v>
      </c>
      <c r="E52" s="10" t="s">
        <v>31</v>
      </c>
      <c r="H52" s="9"/>
      <c r="I52" s="9"/>
    </row>
    <row r="53" spans="3:9" x14ac:dyDescent="0.2">
      <c r="C53" s="15"/>
      <c r="D53" s="9"/>
      <c r="E53" s="10"/>
    </row>
    <row r="54" spans="3:9" x14ac:dyDescent="0.2">
      <c r="C54" s="7" t="s">
        <v>109</v>
      </c>
      <c r="D54" s="74">
        <v>3</v>
      </c>
      <c r="E54" s="10" t="s">
        <v>165</v>
      </c>
    </row>
    <row r="55" spans="3:9" x14ac:dyDescent="0.2">
      <c r="C55" s="54" t="s">
        <v>256</v>
      </c>
      <c r="D55" s="41"/>
      <c r="E55" s="10" t="s">
        <v>243</v>
      </c>
    </row>
    <row r="56" spans="3:9" x14ac:dyDescent="0.2">
      <c r="C56" s="45" t="s">
        <v>257</v>
      </c>
      <c r="D56" s="106">
        <v>3072</v>
      </c>
      <c r="E56" s="10" t="s">
        <v>22</v>
      </c>
    </row>
    <row r="57" spans="3:9" x14ac:dyDescent="0.2">
      <c r="C57" s="45" t="s">
        <v>258</v>
      </c>
      <c r="D57" s="72">
        <v>0.01</v>
      </c>
      <c r="E57" s="10" t="s">
        <v>181</v>
      </c>
    </row>
    <row r="58" spans="3:9" x14ac:dyDescent="0.2">
      <c r="C58" s="45" t="s">
        <v>259</v>
      </c>
      <c r="D58" s="41">
        <f>D57*D56</f>
        <v>30.72</v>
      </c>
      <c r="E58" s="10"/>
    </row>
    <row r="59" spans="3:9" x14ac:dyDescent="0.2">
      <c r="C59" s="15"/>
      <c r="D59" s="9"/>
      <c r="E59" s="10"/>
    </row>
    <row r="60" spans="3:9" x14ac:dyDescent="0.2">
      <c r="C60" s="54" t="s">
        <v>261</v>
      </c>
      <c r="D60" s="9"/>
      <c r="E60" s="10"/>
    </row>
    <row r="61" spans="3:9" x14ac:dyDescent="0.2">
      <c r="C61" s="45" t="s">
        <v>262</v>
      </c>
      <c r="D61" s="128">
        <v>4.0000000000000001E-3</v>
      </c>
      <c r="E61" s="10" t="s">
        <v>181</v>
      </c>
    </row>
    <row r="62" spans="3:9" x14ac:dyDescent="0.2">
      <c r="C62" s="45" t="s">
        <v>263</v>
      </c>
      <c r="D62" s="41">
        <f>D61*D56</f>
        <v>12.288</v>
      </c>
      <c r="E62" s="10" t="s">
        <v>31</v>
      </c>
    </row>
    <row r="63" spans="3:9" x14ac:dyDescent="0.2">
      <c r="C63" s="15"/>
      <c r="D63" s="9"/>
      <c r="E63" s="10"/>
    </row>
    <row r="64" spans="3:9" x14ac:dyDescent="0.2">
      <c r="C64" s="7" t="s">
        <v>266</v>
      </c>
      <c r="D64" s="9"/>
      <c r="E64" s="10"/>
    </row>
    <row r="65" spans="3:5" x14ac:dyDescent="0.2">
      <c r="C65" s="45" t="s">
        <v>271</v>
      </c>
      <c r="D65" s="74">
        <v>1</v>
      </c>
      <c r="E65" s="122"/>
    </row>
    <row r="66" spans="3:5" x14ac:dyDescent="0.2">
      <c r="C66" s="45" t="s">
        <v>267</v>
      </c>
      <c r="D66" s="130">
        <v>5.0000000000000002E-5</v>
      </c>
      <c r="E66" s="122" t="s">
        <v>268</v>
      </c>
    </row>
    <row r="67" spans="3:5" x14ac:dyDescent="0.2">
      <c r="C67" s="56" t="s">
        <v>269</v>
      </c>
      <c r="D67" s="131">
        <f>D66*D65</f>
        <v>5.0000000000000002E-5</v>
      </c>
      <c r="E67" s="122"/>
    </row>
    <row r="68" spans="3:5" x14ac:dyDescent="0.2">
      <c r="C68" s="46" t="s">
        <v>264</v>
      </c>
      <c r="D68" s="41">
        <f>D67+D62</f>
        <v>12.28805</v>
      </c>
      <c r="E68" s="122"/>
    </row>
    <row r="69" spans="3:5" x14ac:dyDescent="0.2">
      <c r="C69" s="56"/>
      <c r="D69" s="129"/>
      <c r="E69" s="122"/>
    </row>
    <row r="70" spans="3:5" ht="17" thickBot="1" x14ac:dyDescent="0.25">
      <c r="C70" s="107" t="s">
        <v>270</v>
      </c>
      <c r="D70" s="132">
        <f>(D58+D68)*D52</f>
        <v>43.008049999999997</v>
      </c>
      <c r="E70" s="14" t="s">
        <v>31</v>
      </c>
    </row>
    <row r="72" spans="3:5" x14ac:dyDescent="0.2">
      <c r="D72" s="137">
        <f>D48+D70</f>
        <v>2180.6025460000001</v>
      </c>
    </row>
  </sheetData>
  <hyperlinks>
    <hyperlink ref="A1" r:id="rId1" xr:uid="{F4338FB4-07C1-AE43-B801-DE623A0D0D66}"/>
    <hyperlink ref="A2" r:id="rId2" location="/" xr:uid="{D25B08D4-F7D6-1F47-8BAF-00D362B129F8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54F3B-25F1-E64F-B0FF-D148B7F08A99}">
  <dimension ref="A1:G67"/>
  <sheetViews>
    <sheetView zoomScale="130" zoomScaleNormal="130" workbookViewId="0">
      <selection activeCell="B8" sqref="B8"/>
    </sheetView>
  </sheetViews>
  <sheetFormatPr baseColWidth="10" defaultRowHeight="16" x14ac:dyDescent="0.2"/>
  <cols>
    <col min="2" max="2" width="23.1640625" customWidth="1"/>
    <col min="3" max="3" width="31.83203125" customWidth="1"/>
    <col min="4" max="4" width="9.6640625" customWidth="1"/>
    <col min="5" max="5" width="13.5" customWidth="1"/>
  </cols>
  <sheetData>
    <row r="1" spans="1:6" x14ac:dyDescent="0.2">
      <c r="A1" s="37" t="s">
        <v>157</v>
      </c>
    </row>
    <row r="2" spans="1:6" ht="17" thickBot="1" x14ac:dyDescent="0.25">
      <c r="A2" s="37" t="s">
        <v>182</v>
      </c>
    </row>
    <row r="3" spans="1:6" ht="24" x14ac:dyDescent="0.3">
      <c r="C3" s="69" t="s">
        <v>131</v>
      </c>
      <c r="D3" s="5"/>
      <c r="E3" s="6" t="s">
        <v>132</v>
      </c>
      <c r="F3" s="9"/>
    </row>
    <row r="4" spans="1:6" x14ac:dyDescent="0.2">
      <c r="C4" s="7" t="s">
        <v>94</v>
      </c>
      <c r="D4" s="77">
        <f>('EKS-MN-Fargate'!H15)*2</f>
        <v>10</v>
      </c>
      <c r="E4" s="10"/>
      <c r="F4" s="9"/>
    </row>
    <row r="5" spans="1:6" x14ac:dyDescent="0.2">
      <c r="C5" s="7" t="s">
        <v>133</v>
      </c>
      <c r="D5" s="9">
        <f>D4/5</f>
        <v>2</v>
      </c>
      <c r="E5" s="10"/>
      <c r="F5" s="9"/>
    </row>
    <row r="6" spans="1:6" x14ac:dyDescent="0.2">
      <c r="C6" s="7" t="s">
        <v>134</v>
      </c>
      <c r="D6" s="80">
        <f>D4*3</f>
        <v>30</v>
      </c>
      <c r="E6" s="10"/>
      <c r="F6" s="9"/>
    </row>
    <row r="7" spans="1:6" x14ac:dyDescent="0.2">
      <c r="C7" s="7" t="s">
        <v>135</v>
      </c>
      <c r="D7" s="9">
        <f>D4*3</f>
        <v>30</v>
      </c>
      <c r="E7" s="10"/>
      <c r="F7" s="9"/>
    </row>
    <row r="8" spans="1:6" x14ac:dyDescent="0.2">
      <c r="C8" s="7" t="s">
        <v>136</v>
      </c>
      <c r="D8" s="9">
        <v>1</v>
      </c>
      <c r="E8" s="10"/>
      <c r="F8" s="9"/>
    </row>
    <row r="9" spans="1:6" x14ac:dyDescent="0.2">
      <c r="C9" s="7" t="s">
        <v>137</v>
      </c>
      <c r="D9" s="84">
        <f>D8+D7+D6</f>
        <v>61</v>
      </c>
      <c r="E9" s="10"/>
      <c r="F9" s="9" t="s">
        <v>147</v>
      </c>
    </row>
    <row r="10" spans="1:6" x14ac:dyDescent="0.2">
      <c r="C10" s="7"/>
      <c r="D10" s="9"/>
      <c r="E10" s="10"/>
      <c r="F10" s="9"/>
    </row>
    <row r="11" spans="1:6" x14ac:dyDescent="0.2">
      <c r="C11" s="81" t="s">
        <v>160</v>
      </c>
      <c r="D11" s="92">
        <v>1</v>
      </c>
      <c r="E11" s="10"/>
      <c r="F11" s="9"/>
    </row>
    <row r="12" spans="1:6" x14ac:dyDescent="0.2">
      <c r="C12" s="16" t="s">
        <v>139</v>
      </c>
      <c r="D12" s="25">
        <f>D11</f>
        <v>1</v>
      </c>
      <c r="E12" s="10"/>
      <c r="F12" s="9"/>
    </row>
    <row r="13" spans="1:6" x14ac:dyDescent="0.2">
      <c r="C13" s="15"/>
      <c r="D13" s="9"/>
      <c r="E13" s="10"/>
      <c r="F13" s="9"/>
    </row>
    <row r="14" spans="1:6" x14ac:dyDescent="0.2">
      <c r="C14" s="7" t="s">
        <v>138</v>
      </c>
      <c r="D14" s="9">
        <v>5</v>
      </c>
      <c r="E14" s="10"/>
      <c r="F14" s="9"/>
    </row>
    <row r="15" spans="1:6" x14ac:dyDescent="0.2">
      <c r="C15" s="81" t="s">
        <v>140</v>
      </c>
      <c r="D15" s="78">
        <f>D14*D8</f>
        <v>5</v>
      </c>
      <c r="E15" s="10"/>
      <c r="F15" s="9"/>
    </row>
    <row r="16" spans="1:6" x14ac:dyDescent="0.2">
      <c r="C16" s="16" t="s">
        <v>144</v>
      </c>
      <c r="D16" s="25">
        <f>D12+D15</f>
        <v>6</v>
      </c>
      <c r="E16" s="10"/>
      <c r="F16" s="9"/>
    </row>
    <row r="17" spans="3:7" x14ac:dyDescent="0.2">
      <c r="C17" s="7" t="s">
        <v>145</v>
      </c>
      <c r="D17" s="70">
        <v>0.4</v>
      </c>
      <c r="E17" s="10" t="s">
        <v>31</v>
      </c>
      <c r="F17" s="9"/>
    </row>
    <row r="18" spans="3:7" x14ac:dyDescent="0.2">
      <c r="C18" s="16" t="s">
        <v>146</v>
      </c>
      <c r="D18" s="41">
        <f>D16*D17</f>
        <v>2.4000000000000004</v>
      </c>
      <c r="E18" s="10" t="s">
        <v>31</v>
      </c>
      <c r="F18" s="9"/>
    </row>
    <row r="19" spans="3:7" x14ac:dyDescent="0.2">
      <c r="C19" s="15"/>
      <c r="D19" s="9"/>
      <c r="E19" s="10"/>
      <c r="F19" s="9"/>
    </row>
    <row r="20" spans="3:7" x14ac:dyDescent="0.2">
      <c r="C20" s="16" t="s">
        <v>150</v>
      </c>
      <c r="D20" s="9"/>
      <c r="E20" s="10"/>
      <c r="F20" s="9"/>
    </row>
    <row r="21" spans="3:7" x14ac:dyDescent="0.2">
      <c r="C21" s="45" t="s">
        <v>141</v>
      </c>
      <c r="D21" s="74">
        <v>2</v>
      </c>
      <c r="E21" s="10"/>
      <c r="F21" s="9"/>
    </row>
    <row r="22" spans="3:7" x14ac:dyDescent="0.2">
      <c r="C22" s="56" t="s">
        <v>148</v>
      </c>
      <c r="D22" s="94">
        <f>D21*30</f>
        <v>60</v>
      </c>
      <c r="E22" s="10" t="s">
        <v>31</v>
      </c>
      <c r="F22" s="9"/>
    </row>
    <row r="23" spans="3:7" x14ac:dyDescent="0.2">
      <c r="C23" s="95" t="s">
        <v>149</v>
      </c>
      <c r="D23" s="93">
        <f>D12*D22</f>
        <v>60</v>
      </c>
      <c r="E23" s="10" t="s">
        <v>31</v>
      </c>
      <c r="F23" s="9"/>
    </row>
    <row r="24" spans="3:7" x14ac:dyDescent="0.2">
      <c r="C24" s="15"/>
      <c r="D24" s="9"/>
      <c r="E24" s="10"/>
      <c r="F24" s="9"/>
    </row>
    <row r="25" spans="3:7" x14ac:dyDescent="0.2">
      <c r="C25" s="16" t="s">
        <v>151</v>
      </c>
      <c r="D25" s="9"/>
      <c r="E25" s="10"/>
      <c r="F25" s="9"/>
    </row>
    <row r="26" spans="3:7" x14ac:dyDescent="0.2">
      <c r="C26" s="7" t="s">
        <v>142</v>
      </c>
      <c r="D26" s="74">
        <v>24</v>
      </c>
      <c r="E26" s="10"/>
      <c r="F26" s="9"/>
    </row>
    <row r="27" spans="3:7" x14ac:dyDescent="0.2">
      <c r="C27" s="7" t="s">
        <v>143</v>
      </c>
      <c r="D27" s="9">
        <f>D26*30</f>
        <v>720</v>
      </c>
      <c r="E27" s="10"/>
      <c r="F27" s="9"/>
      <c r="G27" s="70"/>
    </row>
    <row r="28" spans="3:7" x14ac:dyDescent="0.2">
      <c r="C28" s="83" t="s">
        <v>152</v>
      </c>
      <c r="D28" s="79">
        <f>D27*D15</f>
        <v>3600</v>
      </c>
      <c r="E28" s="10" t="s">
        <v>31</v>
      </c>
      <c r="F28" s="9"/>
    </row>
    <row r="29" spans="3:7" x14ac:dyDescent="0.2">
      <c r="C29" s="16" t="s">
        <v>153</v>
      </c>
      <c r="D29" s="82">
        <f>D28+D23</f>
        <v>3660</v>
      </c>
      <c r="E29" s="10" t="s">
        <v>31</v>
      </c>
      <c r="F29" s="9"/>
    </row>
    <row r="30" spans="3:7" x14ac:dyDescent="0.2">
      <c r="C30" s="7" t="s">
        <v>154</v>
      </c>
      <c r="D30" s="70">
        <v>0.05</v>
      </c>
      <c r="E30" s="10" t="s">
        <v>31</v>
      </c>
      <c r="F30" s="9"/>
    </row>
    <row r="31" spans="3:7" x14ac:dyDescent="0.2">
      <c r="C31" s="16" t="s">
        <v>155</v>
      </c>
      <c r="D31" s="41">
        <f>(D29*D30)/10000</f>
        <v>1.83E-2</v>
      </c>
      <c r="E31" s="10" t="s">
        <v>31</v>
      </c>
      <c r="F31" s="9"/>
    </row>
    <row r="32" spans="3:7" x14ac:dyDescent="0.2">
      <c r="C32" s="7"/>
      <c r="D32" s="9"/>
      <c r="E32" s="10"/>
      <c r="F32" s="9"/>
    </row>
    <row r="33" spans="3:6" ht="17" thickBot="1" x14ac:dyDescent="0.25">
      <c r="C33" s="85" t="s">
        <v>156</v>
      </c>
      <c r="D33" s="86">
        <f>D18+D31</f>
        <v>2.4183000000000003</v>
      </c>
      <c r="E33" s="87" t="s">
        <v>31</v>
      </c>
      <c r="F33" s="9"/>
    </row>
    <row r="34" spans="3:6" x14ac:dyDescent="0.2">
      <c r="C34" s="3"/>
      <c r="F34" s="9"/>
    </row>
    <row r="35" spans="3:6" x14ac:dyDescent="0.2">
      <c r="C35" s="3"/>
      <c r="F35" s="9"/>
    </row>
    <row r="36" spans="3:6" x14ac:dyDescent="0.2">
      <c r="C36" s="3"/>
      <c r="F36" s="9"/>
    </row>
    <row r="37" spans="3:6" x14ac:dyDescent="0.2">
      <c r="C37" s="29"/>
      <c r="D37" s="9"/>
      <c r="E37" s="9"/>
      <c r="F37" s="9"/>
    </row>
    <row r="38" spans="3:6" x14ac:dyDescent="0.2">
      <c r="C38" s="29"/>
      <c r="D38" s="9"/>
      <c r="E38" s="9"/>
      <c r="F38" s="9"/>
    </row>
    <row r="39" spans="3:6" x14ac:dyDescent="0.2">
      <c r="C39" s="29"/>
      <c r="D39" s="9"/>
      <c r="E39" s="9"/>
      <c r="F39" s="9"/>
    </row>
    <row r="40" spans="3:6" x14ac:dyDescent="0.2">
      <c r="C40" s="29"/>
      <c r="D40" s="9"/>
      <c r="E40" s="9"/>
      <c r="F40" s="9"/>
    </row>
    <row r="41" spans="3:6" x14ac:dyDescent="0.2">
      <c r="C41" s="28"/>
      <c r="D41" s="70"/>
      <c r="E41" s="9"/>
      <c r="F41" s="9"/>
    </row>
    <row r="42" spans="3:6" x14ac:dyDescent="0.2">
      <c r="C42" s="29"/>
      <c r="D42" s="70"/>
      <c r="E42" s="9"/>
      <c r="F42" s="9"/>
    </row>
    <row r="43" spans="3:6" x14ac:dyDescent="0.2">
      <c r="C43" s="29"/>
      <c r="D43" s="9"/>
      <c r="E43" s="9"/>
      <c r="F43" s="9"/>
    </row>
    <row r="44" spans="3:6" x14ac:dyDescent="0.2">
      <c r="C44" s="29"/>
      <c r="D44" s="72"/>
      <c r="E44" s="9"/>
      <c r="F44" s="9"/>
    </row>
    <row r="45" spans="3:6" x14ac:dyDescent="0.2">
      <c r="C45" s="9"/>
      <c r="D45" s="9"/>
      <c r="E45" s="9"/>
      <c r="F45" s="9"/>
    </row>
    <row r="46" spans="3:6" x14ac:dyDescent="0.2">
      <c r="C46" s="35"/>
      <c r="D46" s="9"/>
      <c r="E46" s="9"/>
      <c r="F46" s="9"/>
    </row>
    <row r="47" spans="3:6" x14ac:dyDescent="0.2">
      <c r="C47" s="35"/>
      <c r="D47" s="41"/>
      <c r="E47" s="9"/>
      <c r="F47" s="9"/>
    </row>
    <row r="48" spans="3:6" x14ac:dyDescent="0.2">
      <c r="C48" s="9"/>
      <c r="D48" s="9"/>
      <c r="E48" s="9"/>
      <c r="F48" s="9"/>
    </row>
    <row r="49" spans="3:6" x14ac:dyDescent="0.2">
      <c r="C49" s="36"/>
      <c r="D49" s="9"/>
      <c r="E49" s="9"/>
      <c r="F49" s="9"/>
    </row>
    <row r="50" spans="3:6" x14ac:dyDescent="0.2">
      <c r="C50" s="29"/>
      <c r="D50" s="70"/>
      <c r="E50" s="9"/>
      <c r="F50" s="9"/>
    </row>
    <row r="51" spans="3:6" x14ac:dyDescent="0.2">
      <c r="C51" s="29"/>
      <c r="D51" s="71"/>
      <c r="E51" s="9"/>
      <c r="F51" s="9"/>
    </row>
    <row r="52" spans="3:6" x14ac:dyDescent="0.2">
      <c r="C52" s="29"/>
      <c r="D52" s="41"/>
      <c r="E52" s="9"/>
      <c r="F52" s="9"/>
    </row>
    <row r="53" spans="3:6" x14ac:dyDescent="0.2">
      <c r="C53" s="29"/>
      <c r="D53" s="9"/>
      <c r="E53" s="9"/>
      <c r="F53" s="9"/>
    </row>
    <row r="54" spans="3:6" x14ac:dyDescent="0.2">
      <c r="C54" s="35"/>
      <c r="D54" s="9"/>
      <c r="E54" s="9"/>
      <c r="F54" s="9"/>
    </row>
    <row r="55" spans="3:6" x14ac:dyDescent="0.2">
      <c r="C55" s="35"/>
      <c r="D55" s="9"/>
      <c r="E55" s="9"/>
      <c r="F55" s="9"/>
    </row>
    <row r="56" spans="3:6" x14ac:dyDescent="0.2">
      <c r="C56" s="35"/>
      <c r="D56" s="9"/>
      <c r="E56" s="9"/>
      <c r="F56" s="9"/>
    </row>
    <row r="57" spans="3:6" x14ac:dyDescent="0.2">
      <c r="C57" s="35"/>
      <c r="D57" s="9"/>
      <c r="E57" s="9"/>
      <c r="F57" s="9"/>
    </row>
    <row r="58" spans="3:6" x14ac:dyDescent="0.2">
      <c r="C58" s="35"/>
      <c r="D58" s="9"/>
      <c r="E58" s="9"/>
      <c r="F58" s="9"/>
    </row>
    <row r="59" spans="3:6" x14ac:dyDescent="0.2">
      <c r="C59" s="35"/>
      <c r="D59" s="9"/>
      <c r="E59" s="9"/>
      <c r="F59" s="9"/>
    </row>
    <row r="60" spans="3:6" x14ac:dyDescent="0.2">
      <c r="C60" s="35"/>
      <c r="D60" s="71"/>
      <c r="E60" s="9"/>
      <c r="F60" s="9"/>
    </row>
    <row r="61" spans="3:6" x14ac:dyDescent="0.2">
      <c r="C61" s="35"/>
      <c r="D61" s="71"/>
      <c r="E61" s="9"/>
      <c r="F61" s="9"/>
    </row>
    <row r="62" spans="3:6" x14ac:dyDescent="0.2">
      <c r="C62" s="9"/>
      <c r="D62" s="9"/>
      <c r="E62" s="9"/>
      <c r="F62" s="9"/>
    </row>
    <row r="63" spans="3:6" x14ac:dyDescent="0.2">
      <c r="C63" s="35"/>
      <c r="D63" s="70"/>
      <c r="E63" s="9"/>
      <c r="F63" s="9"/>
    </row>
    <row r="64" spans="3:6" x14ac:dyDescent="0.2">
      <c r="C64" s="35"/>
      <c r="D64" s="41"/>
      <c r="E64" s="9"/>
      <c r="F64" s="9"/>
    </row>
    <row r="65" spans="3:6" x14ac:dyDescent="0.2">
      <c r="C65" s="28"/>
      <c r="D65" s="41"/>
      <c r="E65" s="9"/>
      <c r="F65" s="9"/>
    </row>
    <row r="66" spans="3:6" x14ac:dyDescent="0.2">
      <c r="C66" s="9"/>
      <c r="D66" s="9"/>
      <c r="E66" s="9"/>
      <c r="F66" s="9"/>
    </row>
    <row r="67" spans="3:6" x14ac:dyDescent="0.2">
      <c r="C67" s="9"/>
      <c r="D67" s="9"/>
      <c r="E67" s="9"/>
      <c r="F67" s="9"/>
    </row>
  </sheetData>
  <hyperlinks>
    <hyperlink ref="A1" r:id="rId1" xr:uid="{F6B2FD0F-0CCC-1C4B-BB8A-23252177D2F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15AAF-E904-8C47-AE6C-55827B978540}">
  <dimension ref="A1:M39"/>
  <sheetViews>
    <sheetView zoomScale="140" zoomScaleNormal="140" workbookViewId="0">
      <selection activeCell="E40" sqref="E40"/>
    </sheetView>
  </sheetViews>
  <sheetFormatPr baseColWidth="10" defaultRowHeight="16" x14ac:dyDescent="0.2"/>
  <cols>
    <col min="1" max="1" width="7.6640625" customWidth="1"/>
    <col min="2" max="2" width="48.5" customWidth="1"/>
    <col min="4" max="4" width="13.1640625" customWidth="1"/>
    <col min="5" max="5" width="9.6640625" customWidth="1"/>
    <col min="6" max="6" width="32" customWidth="1"/>
    <col min="7" max="7" width="11.5" customWidth="1"/>
    <col min="8" max="8" width="11" customWidth="1"/>
    <col min="9" max="9" width="15.83203125" customWidth="1"/>
    <col min="10" max="10" width="14" customWidth="1"/>
    <col min="12" max="12" width="30.33203125" customWidth="1"/>
    <col min="15" max="15" width="8" customWidth="1"/>
    <col min="16" max="16" width="13.6640625" customWidth="1"/>
  </cols>
  <sheetData>
    <row r="1" spans="1:8" x14ac:dyDescent="0.2">
      <c r="A1" s="37" t="s">
        <v>167</v>
      </c>
    </row>
    <row r="2" spans="1:8" x14ac:dyDescent="0.2">
      <c r="A2" s="37" t="s">
        <v>182</v>
      </c>
    </row>
    <row r="3" spans="1:8" ht="17" thickBot="1" x14ac:dyDescent="0.25">
      <c r="B3" s="9"/>
      <c r="C3" s="9"/>
      <c r="D3" s="9"/>
      <c r="E3" s="9"/>
      <c r="F3" t="s">
        <v>237</v>
      </c>
    </row>
    <row r="4" spans="1:8" ht="24" x14ac:dyDescent="0.3">
      <c r="B4" s="88" t="s">
        <v>168</v>
      </c>
      <c r="C4" s="5"/>
      <c r="D4" s="6"/>
      <c r="E4" s="9"/>
      <c r="F4" s="108" t="s">
        <v>170</v>
      </c>
      <c r="G4" s="5"/>
      <c r="H4" s="6"/>
    </row>
    <row r="5" spans="1:8" x14ac:dyDescent="0.2">
      <c r="B5" s="7" t="s">
        <v>178</v>
      </c>
      <c r="C5" s="9">
        <v>3</v>
      </c>
      <c r="D5" s="10"/>
      <c r="E5" s="9"/>
      <c r="F5" s="7" t="s">
        <v>171</v>
      </c>
      <c r="G5" s="9"/>
      <c r="H5" s="10"/>
    </row>
    <row r="6" spans="1:8" x14ac:dyDescent="0.2">
      <c r="B6" s="81" t="s">
        <v>179</v>
      </c>
      <c r="C6" s="104">
        <v>3</v>
      </c>
      <c r="D6" s="10" t="s">
        <v>180</v>
      </c>
      <c r="E6" s="9"/>
      <c r="F6" s="109" t="s">
        <v>183</v>
      </c>
      <c r="G6" s="110">
        <v>2.0799999999999999E-2</v>
      </c>
      <c r="H6" s="10" t="s">
        <v>111</v>
      </c>
    </row>
    <row r="7" spans="1:8" x14ac:dyDescent="0.2">
      <c r="B7" s="7" t="s">
        <v>186</v>
      </c>
      <c r="C7" s="9">
        <f>C6*C5</f>
        <v>9</v>
      </c>
      <c r="D7" s="10" t="s">
        <v>180</v>
      </c>
      <c r="E7" s="9"/>
      <c r="F7" s="16" t="s">
        <v>194</v>
      </c>
      <c r="G7" s="41">
        <f>G6*H29</f>
        <v>15.183999999999999</v>
      </c>
      <c r="H7" s="10" t="s">
        <v>31</v>
      </c>
    </row>
    <row r="8" spans="1:8" ht="17" thickBot="1" x14ac:dyDescent="0.25">
      <c r="B8" s="15"/>
      <c r="C8" s="9"/>
      <c r="D8" s="10"/>
      <c r="E8" s="9"/>
      <c r="F8" s="15"/>
      <c r="G8" s="9"/>
      <c r="H8" s="10"/>
    </row>
    <row r="9" spans="1:8" x14ac:dyDescent="0.2">
      <c r="B9" s="7" t="s">
        <v>176</v>
      </c>
      <c r="C9" s="111">
        <v>0.5</v>
      </c>
      <c r="D9" s="10"/>
      <c r="E9" s="9"/>
      <c r="F9" s="105" t="s">
        <v>172</v>
      </c>
      <c r="G9" s="5"/>
      <c r="H9" s="6"/>
    </row>
    <row r="10" spans="1:8" x14ac:dyDescent="0.2">
      <c r="B10" s="7" t="s">
        <v>175</v>
      </c>
      <c r="C10" s="112">
        <v>8</v>
      </c>
      <c r="D10" s="10" t="s">
        <v>174</v>
      </c>
      <c r="E10" s="9"/>
      <c r="F10" s="7" t="s">
        <v>184</v>
      </c>
      <c r="G10" s="74">
        <v>30</v>
      </c>
      <c r="H10" s="10" t="s">
        <v>22</v>
      </c>
    </row>
    <row r="11" spans="1:8" x14ac:dyDescent="0.2">
      <c r="B11" s="7" t="s">
        <v>177</v>
      </c>
      <c r="C11" s="113">
        <f>C9*C10</f>
        <v>4</v>
      </c>
      <c r="D11" s="10" t="s">
        <v>174</v>
      </c>
      <c r="E11" s="9"/>
      <c r="F11" s="7" t="s">
        <v>185</v>
      </c>
      <c r="G11" s="70">
        <v>0.05</v>
      </c>
      <c r="H11" s="10" t="s">
        <v>181</v>
      </c>
    </row>
    <row r="12" spans="1:8" x14ac:dyDescent="0.2">
      <c r="B12" s="7" t="s">
        <v>193</v>
      </c>
      <c r="C12" s="113">
        <f>C11*C5</f>
        <v>12</v>
      </c>
      <c r="D12" s="10" t="s">
        <v>187</v>
      </c>
      <c r="E12" s="9"/>
      <c r="F12" s="16" t="s">
        <v>199</v>
      </c>
      <c r="G12" s="41">
        <f>G11*G10</f>
        <v>1.5</v>
      </c>
      <c r="H12" s="10" t="s">
        <v>31</v>
      </c>
    </row>
    <row r="13" spans="1:8" x14ac:dyDescent="0.2">
      <c r="B13" s="7" t="s">
        <v>193</v>
      </c>
      <c r="C13" s="113">
        <f>C12*H28</f>
        <v>365</v>
      </c>
      <c r="D13" s="10" t="s">
        <v>173</v>
      </c>
      <c r="E13" s="9"/>
      <c r="F13" s="15"/>
      <c r="G13" s="9"/>
      <c r="H13" s="10"/>
    </row>
    <row r="14" spans="1:8" x14ac:dyDescent="0.2">
      <c r="B14" s="7"/>
      <c r="C14" s="9"/>
      <c r="D14" s="10"/>
      <c r="E14" s="9"/>
      <c r="F14" s="45" t="s">
        <v>195</v>
      </c>
      <c r="G14" s="74">
        <v>2</v>
      </c>
      <c r="H14" s="10" t="s">
        <v>196</v>
      </c>
    </row>
    <row r="15" spans="1:8" x14ac:dyDescent="0.2">
      <c r="B15" s="7" t="s">
        <v>202</v>
      </c>
      <c r="C15" s="114">
        <f>C7</f>
        <v>9</v>
      </c>
      <c r="D15" s="10" t="s">
        <v>203</v>
      </c>
      <c r="E15" s="9"/>
      <c r="F15" s="45" t="s">
        <v>198</v>
      </c>
      <c r="G15" s="106">
        <f>G14*H28</f>
        <v>60.833333333333336</v>
      </c>
      <c r="H15" s="10" t="s">
        <v>31</v>
      </c>
    </row>
    <row r="16" spans="1:8" x14ac:dyDescent="0.2">
      <c r="B16" s="15"/>
      <c r="C16" s="9"/>
      <c r="D16" s="10"/>
      <c r="E16" s="9"/>
      <c r="F16" s="45" t="s">
        <v>197</v>
      </c>
      <c r="G16" s="74">
        <v>1</v>
      </c>
      <c r="H16" s="10" t="s">
        <v>22</v>
      </c>
    </row>
    <row r="17" spans="2:9" x14ac:dyDescent="0.2">
      <c r="B17" s="7" t="s">
        <v>204</v>
      </c>
      <c r="C17" s="113">
        <f>C13</f>
        <v>365</v>
      </c>
      <c r="D17" s="10"/>
      <c r="E17" s="9"/>
      <c r="F17" s="45" t="s">
        <v>200</v>
      </c>
      <c r="G17" s="106">
        <f>G16*G15</f>
        <v>60.833333333333336</v>
      </c>
      <c r="H17" s="10" t="s">
        <v>31</v>
      </c>
    </row>
    <row r="18" spans="2:9" x14ac:dyDescent="0.2">
      <c r="B18" s="7" t="s">
        <v>205</v>
      </c>
      <c r="C18" s="70">
        <f>C17*G6</f>
        <v>7.5919999999999996</v>
      </c>
      <c r="D18" s="10" t="s">
        <v>31</v>
      </c>
      <c r="E18" s="9"/>
      <c r="F18" s="54" t="s">
        <v>201</v>
      </c>
      <c r="G18" s="41">
        <f>G17*G11</f>
        <v>3.041666666666667</v>
      </c>
      <c r="H18" s="10" t="s">
        <v>31</v>
      </c>
    </row>
    <row r="19" spans="2:9" x14ac:dyDescent="0.2">
      <c r="B19" s="15"/>
      <c r="C19" s="9"/>
      <c r="D19" s="10"/>
      <c r="E19" s="9"/>
      <c r="F19" s="15"/>
      <c r="G19" s="9"/>
      <c r="H19" s="10"/>
    </row>
    <row r="20" spans="2:9" ht="17" thickBot="1" x14ac:dyDescent="0.25">
      <c r="B20" s="7" t="s">
        <v>207</v>
      </c>
      <c r="C20" s="70">
        <f>C15*G20</f>
        <v>40.875</v>
      </c>
      <c r="D20" s="10" t="s">
        <v>31</v>
      </c>
      <c r="E20" s="9"/>
      <c r="F20" s="107" t="s">
        <v>206</v>
      </c>
      <c r="G20" s="23">
        <f>G12+G18</f>
        <v>4.541666666666667</v>
      </c>
      <c r="H20" s="14" t="s">
        <v>31</v>
      </c>
    </row>
    <row r="21" spans="2:9" ht="17" thickBot="1" x14ac:dyDescent="0.25">
      <c r="B21" s="15"/>
      <c r="C21" s="9"/>
      <c r="D21" s="10"/>
      <c r="E21" s="9"/>
      <c r="F21" s="21" t="s">
        <v>39</v>
      </c>
      <c r="G21" s="23">
        <f>G7+G20</f>
        <v>19.725666666666665</v>
      </c>
      <c r="H21" s="14" t="s">
        <v>31</v>
      </c>
    </row>
    <row r="22" spans="2:9" x14ac:dyDescent="0.2">
      <c r="B22" s="115" t="s">
        <v>208</v>
      </c>
      <c r="C22" s="116">
        <f>C18+C20</f>
        <v>48.466999999999999</v>
      </c>
      <c r="D22" s="10" t="s">
        <v>31</v>
      </c>
      <c r="E22" s="9"/>
    </row>
    <row r="23" spans="2:9" x14ac:dyDescent="0.2">
      <c r="B23" s="83" t="s">
        <v>169</v>
      </c>
      <c r="C23" s="73">
        <v>0</v>
      </c>
      <c r="D23" s="10" t="s">
        <v>31</v>
      </c>
      <c r="E23" s="9"/>
      <c r="F23" s="3" t="s">
        <v>209</v>
      </c>
      <c r="G23" s="59">
        <f>G7*9</f>
        <v>136.65600000000001</v>
      </c>
      <c r="H23" t="s">
        <v>31</v>
      </c>
    </row>
    <row r="24" spans="2:9" ht="17" thickBot="1" x14ac:dyDescent="0.25">
      <c r="B24" s="21" t="s">
        <v>212</v>
      </c>
      <c r="C24" s="23">
        <f>C23+C22</f>
        <v>48.466999999999999</v>
      </c>
      <c r="D24" s="14" t="s">
        <v>31</v>
      </c>
      <c r="E24" s="9"/>
      <c r="F24" s="3" t="s">
        <v>210</v>
      </c>
      <c r="G24" s="59">
        <f>G20*9</f>
        <v>40.875</v>
      </c>
    </row>
    <row r="25" spans="2:9" x14ac:dyDescent="0.2">
      <c r="B25" s="9"/>
      <c r="C25" s="9"/>
      <c r="D25" s="9"/>
      <c r="E25" s="9"/>
      <c r="F25" s="3" t="s">
        <v>211</v>
      </c>
      <c r="G25" s="59">
        <f>G24+G23</f>
        <v>177.53100000000001</v>
      </c>
    </row>
    <row r="26" spans="2:9" x14ac:dyDescent="0.2">
      <c r="B26" s="28"/>
      <c r="C26" s="9"/>
      <c r="D26" s="9"/>
      <c r="E26" s="9"/>
    </row>
    <row r="27" spans="2:9" x14ac:dyDescent="0.2">
      <c r="B27" s="29"/>
      <c r="C27" s="52"/>
      <c r="D27" s="9"/>
      <c r="E27" s="9"/>
      <c r="F27" s="96">
        <v>1</v>
      </c>
      <c r="G27" s="97" t="s">
        <v>188</v>
      </c>
      <c r="H27" s="97">
        <v>12</v>
      </c>
      <c r="I27" s="98" t="s">
        <v>190</v>
      </c>
    </row>
    <row r="28" spans="2:9" x14ac:dyDescent="0.2">
      <c r="B28" s="29"/>
      <c r="C28" s="9"/>
      <c r="D28" s="9"/>
      <c r="E28" s="9"/>
      <c r="F28" s="99">
        <v>365</v>
      </c>
      <c r="G28" s="9" t="s">
        <v>189</v>
      </c>
      <c r="H28" s="103">
        <f>F28/H27</f>
        <v>30.416666666666668</v>
      </c>
      <c r="I28" s="100" t="s">
        <v>192</v>
      </c>
    </row>
    <row r="29" spans="2:9" x14ac:dyDescent="0.2">
      <c r="B29" s="28"/>
      <c r="C29" s="82"/>
      <c r="D29" s="9"/>
      <c r="E29" s="9"/>
      <c r="F29" s="99">
        <v>24</v>
      </c>
      <c r="G29" s="9" t="s">
        <v>187</v>
      </c>
      <c r="H29" s="9">
        <f>H28*F29</f>
        <v>730</v>
      </c>
      <c r="I29" s="100" t="s">
        <v>173</v>
      </c>
    </row>
    <row r="30" spans="2:9" x14ac:dyDescent="0.2">
      <c r="B30" s="28"/>
      <c r="C30" s="82"/>
      <c r="D30" s="9"/>
      <c r="E30" s="9"/>
      <c r="F30" s="101">
        <f>F29*F28</f>
        <v>8760</v>
      </c>
      <c r="G30" s="92" t="s">
        <v>191</v>
      </c>
      <c r="H30" s="92"/>
      <c r="I30" s="102"/>
    </row>
    <row r="31" spans="2:9" x14ac:dyDescent="0.2">
      <c r="B31" s="29"/>
      <c r="C31" s="70"/>
      <c r="D31" s="9"/>
      <c r="E31" s="9"/>
    </row>
    <row r="32" spans="2:9" x14ac:dyDescent="0.2">
      <c r="B32" s="28"/>
      <c r="C32" s="41"/>
      <c r="D32" s="9"/>
      <c r="E32" s="9"/>
    </row>
    <row r="33" spans="2:13" x14ac:dyDescent="0.2">
      <c r="B33" s="29"/>
      <c r="C33" s="9"/>
      <c r="D33" s="9"/>
      <c r="E33" s="9"/>
    </row>
    <row r="34" spans="2:13" x14ac:dyDescent="0.2">
      <c r="B34" s="28"/>
      <c r="C34" s="41"/>
      <c r="D34" s="9"/>
      <c r="E34" s="9"/>
    </row>
    <row r="35" spans="2:13" x14ac:dyDescent="0.2">
      <c r="B35" s="9"/>
      <c r="C35" s="9"/>
      <c r="D35" s="9"/>
      <c r="E35" s="9"/>
    </row>
    <row r="36" spans="2:13" x14ac:dyDescent="0.2">
      <c r="H36" s="3"/>
    </row>
    <row r="39" spans="2:13" x14ac:dyDescent="0.2">
      <c r="M39" s="59"/>
    </row>
  </sheetData>
  <hyperlinks>
    <hyperlink ref="A1" r:id="rId1" xr:uid="{696409C0-CAAD-D44E-8F50-ADEFC8340817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8C9A6-9E20-1F44-B4B2-28DB7B40CF48}">
  <dimension ref="A1:F34"/>
  <sheetViews>
    <sheetView zoomScale="140" zoomScaleNormal="140" workbookViewId="0">
      <selection activeCell="B7" sqref="B7"/>
    </sheetView>
  </sheetViews>
  <sheetFormatPr baseColWidth="10" defaultRowHeight="16" x14ac:dyDescent="0.2"/>
  <cols>
    <col min="2" max="2" width="37" customWidth="1"/>
    <col min="4" max="4" width="11.1640625" customWidth="1"/>
    <col min="6" max="6" width="35.5" customWidth="1"/>
    <col min="7" max="7" width="9.83203125" customWidth="1"/>
  </cols>
  <sheetData>
    <row r="1" spans="1:4" x14ac:dyDescent="0.2">
      <c r="A1" s="37" t="s">
        <v>213</v>
      </c>
    </row>
    <row r="2" spans="1:4" x14ac:dyDescent="0.2">
      <c r="A2" s="37" t="s">
        <v>182</v>
      </c>
    </row>
    <row r="3" spans="1:4" ht="17" thickBot="1" x14ac:dyDescent="0.25">
      <c r="B3" s="9"/>
      <c r="C3" s="9"/>
      <c r="D3" s="9"/>
    </row>
    <row r="4" spans="1:4" ht="24" x14ac:dyDescent="0.3">
      <c r="B4" s="88" t="s">
        <v>214</v>
      </c>
      <c r="C4" s="5"/>
      <c r="D4" s="6"/>
    </row>
    <row r="5" spans="1:4" x14ac:dyDescent="0.2">
      <c r="B5" s="7" t="s">
        <v>215</v>
      </c>
      <c r="C5" s="74">
        <v>1</v>
      </c>
      <c r="D5" s="10"/>
    </row>
    <row r="6" spans="1:4" x14ac:dyDescent="0.2">
      <c r="B6" s="81" t="s">
        <v>217</v>
      </c>
      <c r="C6" s="60">
        <v>400</v>
      </c>
      <c r="D6" s="10" t="s">
        <v>31</v>
      </c>
    </row>
    <row r="7" spans="1:4" x14ac:dyDescent="0.2">
      <c r="B7" s="16" t="s">
        <v>216</v>
      </c>
      <c r="C7" s="41">
        <f>C6*C5</f>
        <v>400</v>
      </c>
      <c r="D7" s="10" t="s">
        <v>31</v>
      </c>
    </row>
    <row r="8" spans="1:4" x14ac:dyDescent="0.2">
      <c r="B8" s="7"/>
      <c r="C8" s="9"/>
      <c r="D8" s="10"/>
    </row>
    <row r="9" spans="1:4" x14ac:dyDescent="0.2">
      <c r="B9" s="81" t="s">
        <v>218</v>
      </c>
      <c r="C9" s="104">
        <v>1</v>
      </c>
      <c r="D9" s="10"/>
    </row>
    <row r="10" spans="1:4" x14ac:dyDescent="0.2">
      <c r="B10" s="7" t="s">
        <v>219</v>
      </c>
      <c r="C10" s="9">
        <f>C9</f>
        <v>1</v>
      </c>
      <c r="D10" s="10"/>
    </row>
    <row r="11" spans="1:4" x14ac:dyDescent="0.2">
      <c r="B11" s="7"/>
      <c r="C11" s="9"/>
      <c r="D11" s="10"/>
    </row>
    <row r="12" spans="1:4" x14ac:dyDescent="0.2">
      <c r="B12" s="7" t="s">
        <v>220</v>
      </c>
      <c r="C12" s="70">
        <v>0.75</v>
      </c>
      <c r="D12" s="10" t="s">
        <v>223</v>
      </c>
    </row>
    <row r="13" spans="1:4" x14ac:dyDescent="0.2">
      <c r="B13" s="7" t="s">
        <v>221</v>
      </c>
      <c r="C13" s="70">
        <v>0.35</v>
      </c>
      <c r="D13" s="10" t="s">
        <v>223</v>
      </c>
    </row>
    <row r="14" spans="1:4" x14ac:dyDescent="0.2">
      <c r="B14" s="118" t="s">
        <v>222</v>
      </c>
      <c r="C14" s="70">
        <v>1E-3</v>
      </c>
      <c r="D14" s="10" t="s">
        <v>223</v>
      </c>
    </row>
    <row r="15" spans="1:4" x14ac:dyDescent="0.2">
      <c r="B15" s="7"/>
      <c r="C15" s="9"/>
      <c r="D15" s="10"/>
    </row>
    <row r="16" spans="1:4" x14ac:dyDescent="0.2">
      <c r="B16" s="81" t="s">
        <v>224</v>
      </c>
      <c r="C16" s="92">
        <f>C10</f>
        <v>1</v>
      </c>
      <c r="D16" s="10"/>
    </row>
    <row r="17" spans="2:6" x14ac:dyDescent="0.2">
      <c r="B17" s="7" t="s">
        <v>277</v>
      </c>
      <c r="C17" s="70">
        <f>C16*C12</f>
        <v>0.75</v>
      </c>
      <c r="D17" s="10"/>
      <c r="E17" t="s">
        <v>278</v>
      </c>
    </row>
    <row r="18" spans="2:6" x14ac:dyDescent="0.2">
      <c r="B18" s="15"/>
      <c r="C18" s="9"/>
      <c r="D18" s="10"/>
    </row>
    <row r="19" spans="2:6" x14ac:dyDescent="0.2">
      <c r="B19" s="81" t="s">
        <v>225</v>
      </c>
      <c r="C19" s="92">
        <v>0</v>
      </c>
      <c r="D19" s="10"/>
    </row>
    <row r="20" spans="2:6" x14ac:dyDescent="0.2">
      <c r="B20" s="7" t="s">
        <v>226</v>
      </c>
      <c r="C20" s="70">
        <f>C19*C12</f>
        <v>0</v>
      </c>
      <c r="D20" s="10"/>
    </row>
    <row r="21" spans="2:6" x14ac:dyDescent="0.2">
      <c r="B21" s="15"/>
      <c r="C21" s="9"/>
      <c r="D21" s="10"/>
    </row>
    <row r="22" spans="2:6" ht="17" thickBot="1" x14ac:dyDescent="0.25">
      <c r="B22" s="21" t="s">
        <v>227</v>
      </c>
      <c r="C22" s="23">
        <f>C7+C20</f>
        <v>400</v>
      </c>
      <c r="D22" s="14" t="s">
        <v>31</v>
      </c>
    </row>
    <row r="23" spans="2:6" x14ac:dyDescent="0.2">
      <c r="B23" s="28"/>
      <c r="C23" s="41"/>
      <c r="D23" s="9"/>
    </row>
    <row r="24" spans="2:6" ht="68" x14ac:dyDescent="0.2">
      <c r="B24" s="119" t="s">
        <v>228</v>
      </c>
      <c r="C24" s="9"/>
      <c r="D24" s="9"/>
      <c r="F24" s="3"/>
    </row>
    <row r="25" spans="2:6" x14ac:dyDescent="0.2">
      <c r="B25" s="28"/>
      <c r="C25" s="9"/>
      <c r="D25" s="9"/>
      <c r="F25" s="3"/>
    </row>
    <row r="26" spans="2:6" x14ac:dyDescent="0.2">
      <c r="F26" s="3"/>
    </row>
    <row r="27" spans="2:6" x14ac:dyDescent="0.2">
      <c r="F27" s="3"/>
    </row>
    <row r="28" spans="2:6" x14ac:dyDescent="0.2">
      <c r="F28" s="3"/>
    </row>
    <row r="29" spans="2:6" x14ac:dyDescent="0.2">
      <c r="F29" s="3"/>
    </row>
    <row r="30" spans="2:6" x14ac:dyDescent="0.2">
      <c r="F30" s="3"/>
    </row>
    <row r="31" spans="2:6" x14ac:dyDescent="0.2">
      <c r="F31" s="3"/>
    </row>
    <row r="32" spans="2:6" x14ac:dyDescent="0.2">
      <c r="F32" s="3"/>
    </row>
    <row r="33" spans="6:6" x14ac:dyDescent="0.2">
      <c r="F33" s="3"/>
    </row>
    <row r="34" spans="6:6" x14ac:dyDescent="0.2">
      <c r="F34" s="3"/>
    </row>
  </sheetData>
  <hyperlinks>
    <hyperlink ref="A1" r:id="rId1" xr:uid="{3BCE7A57-BD07-2743-81F0-EB9ECAA34EA4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C6502-815E-7C48-80CE-920ABDAD32A3}">
  <dimension ref="A1:F29"/>
  <sheetViews>
    <sheetView zoomScale="120" zoomScaleNormal="120" workbookViewId="0">
      <selection activeCell="A5" sqref="A5"/>
    </sheetView>
  </sheetViews>
  <sheetFormatPr baseColWidth="10" defaultRowHeight="16" x14ac:dyDescent="0.2"/>
  <cols>
    <col min="1" max="1" width="7" customWidth="1"/>
    <col min="2" max="2" width="27" customWidth="1"/>
    <col min="3" max="3" width="13.6640625" customWidth="1"/>
  </cols>
  <sheetData>
    <row r="1" spans="1:6" x14ac:dyDescent="0.2">
      <c r="A1" s="37" t="s">
        <v>63</v>
      </c>
      <c r="B1" s="2"/>
    </row>
    <row r="2" spans="1:6" x14ac:dyDescent="0.2">
      <c r="A2" s="37" t="s">
        <v>182</v>
      </c>
    </row>
    <row r="4" spans="1:6" ht="17" thickBot="1" x14ac:dyDescent="0.25"/>
    <row r="5" spans="1:6" ht="21" x14ac:dyDescent="0.25">
      <c r="B5" s="33" t="s">
        <v>49</v>
      </c>
      <c r="C5" s="4"/>
      <c r="D5" s="5"/>
      <c r="E5" s="5"/>
      <c r="F5" s="6"/>
    </row>
    <row r="6" spans="1:6" ht="21" x14ac:dyDescent="0.25">
      <c r="B6" s="51"/>
      <c r="C6" s="8"/>
      <c r="D6" s="9"/>
      <c r="E6" s="9"/>
      <c r="F6" s="10"/>
    </row>
    <row r="7" spans="1:6" x14ac:dyDescent="0.2">
      <c r="B7" s="7" t="s">
        <v>229</v>
      </c>
      <c r="C7" s="120">
        <f>'EKS-MN-Fargate'!H76</f>
        <v>420.03500000000003</v>
      </c>
      <c r="D7" s="9" t="s">
        <v>31</v>
      </c>
      <c r="E7" s="9"/>
      <c r="F7" s="10"/>
    </row>
    <row r="8" spans="1:6" x14ac:dyDescent="0.2">
      <c r="B8" s="7"/>
      <c r="C8" s="19"/>
      <c r="D8" s="9"/>
      <c r="E8" s="9"/>
      <c r="F8" s="10"/>
    </row>
    <row r="9" spans="1:6" x14ac:dyDescent="0.2">
      <c r="B9" s="7" t="s">
        <v>230</v>
      </c>
      <c r="C9" s="8"/>
      <c r="D9" s="9"/>
      <c r="E9" s="9"/>
      <c r="F9" s="10"/>
    </row>
    <row r="10" spans="1:6" x14ac:dyDescent="0.2">
      <c r="B10" s="16"/>
      <c r="C10" s="48"/>
      <c r="D10" s="52"/>
      <c r="E10" s="9"/>
      <c r="F10" s="10"/>
    </row>
    <row r="11" spans="1:6" x14ac:dyDescent="0.2">
      <c r="B11" s="7"/>
      <c r="C11" s="8"/>
      <c r="D11" s="9"/>
      <c r="E11" s="9"/>
      <c r="F11" s="10"/>
    </row>
    <row r="12" spans="1:6" x14ac:dyDescent="0.2">
      <c r="B12" s="7"/>
      <c r="C12" s="8"/>
      <c r="D12" s="9"/>
      <c r="E12" s="9"/>
      <c r="F12" s="10"/>
    </row>
    <row r="13" spans="1:6" x14ac:dyDescent="0.2">
      <c r="B13" s="7"/>
      <c r="C13" s="8"/>
      <c r="D13" s="9"/>
      <c r="E13" s="9"/>
      <c r="F13" s="10"/>
    </row>
    <row r="14" spans="1:6" x14ac:dyDescent="0.2">
      <c r="B14" s="16"/>
      <c r="C14" s="48"/>
      <c r="D14" s="52"/>
      <c r="E14" s="9"/>
      <c r="F14" s="10"/>
    </row>
    <row r="15" spans="1:6" x14ac:dyDescent="0.2">
      <c r="B15" s="7"/>
      <c r="C15" s="8"/>
      <c r="D15" s="9"/>
      <c r="E15" s="9"/>
      <c r="F15" s="10"/>
    </row>
    <row r="16" spans="1:6" x14ac:dyDescent="0.2">
      <c r="B16" s="7"/>
      <c r="C16" s="8"/>
      <c r="D16" s="9"/>
      <c r="E16" s="9"/>
      <c r="F16" s="10"/>
    </row>
    <row r="17" spans="2:6" x14ac:dyDescent="0.2">
      <c r="B17" s="7"/>
      <c r="C17" s="8"/>
      <c r="D17" s="9"/>
      <c r="E17" s="9"/>
      <c r="F17" s="10"/>
    </row>
    <row r="18" spans="2:6" x14ac:dyDescent="0.2">
      <c r="B18" s="16"/>
      <c r="C18" s="48"/>
      <c r="D18" s="52"/>
      <c r="E18" s="9"/>
      <c r="F18" s="10"/>
    </row>
    <row r="19" spans="2:6" x14ac:dyDescent="0.2">
      <c r="B19" s="7"/>
      <c r="C19" s="8"/>
      <c r="D19" s="9"/>
      <c r="E19" s="9"/>
      <c r="F19" s="10"/>
    </row>
    <row r="20" spans="2:6" x14ac:dyDescent="0.2">
      <c r="B20" s="45"/>
      <c r="C20" s="8"/>
      <c r="D20" s="9"/>
      <c r="E20" s="9"/>
      <c r="F20" s="10"/>
    </row>
    <row r="21" spans="2:6" x14ac:dyDescent="0.2">
      <c r="B21" s="7"/>
      <c r="C21" s="11"/>
      <c r="D21" s="9"/>
      <c r="E21" s="9"/>
      <c r="F21" s="10"/>
    </row>
    <row r="22" spans="2:6" x14ac:dyDescent="0.2">
      <c r="B22" s="54"/>
      <c r="C22" s="24"/>
      <c r="D22" s="25"/>
      <c r="E22" s="9"/>
      <c r="F22" s="10"/>
    </row>
    <row r="23" spans="2:6" x14ac:dyDescent="0.2">
      <c r="B23" s="45"/>
      <c r="C23" s="8"/>
      <c r="D23" s="9"/>
      <c r="E23" s="9"/>
      <c r="F23" s="10"/>
    </row>
    <row r="24" spans="2:6" x14ac:dyDescent="0.2">
      <c r="B24" s="54"/>
      <c r="C24" s="8"/>
      <c r="D24" s="9"/>
      <c r="E24" s="9"/>
      <c r="F24" s="10"/>
    </row>
    <row r="25" spans="2:6" x14ac:dyDescent="0.2">
      <c r="B25" s="56"/>
      <c r="C25" s="50"/>
      <c r="D25" s="9"/>
      <c r="E25" s="9"/>
      <c r="F25" s="10"/>
    </row>
    <row r="26" spans="2:6" x14ac:dyDescent="0.2">
      <c r="B26" s="54" t="s">
        <v>87</v>
      </c>
      <c r="C26" s="24">
        <f>C25*C24</f>
        <v>0</v>
      </c>
      <c r="D26" s="9" t="s">
        <v>31</v>
      </c>
      <c r="E26" s="9"/>
      <c r="F26" s="10"/>
    </row>
    <row r="27" spans="2:6" x14ac:dyDescent="0.2">
      <c r="B27" s="45"/>
      <c r="C27" s="8"/>
      <c r="D27" s="9"/>
      <c r="E27" s="9"/>
      <c r="F27" s="10"/>
    </row>
    <row r="28" spans="2:6" ht="20" thickBot="1" x14ac:dyDescent="0.3">
      <c r="B28" s="57" t="s">
        <v>89</v>
      </c>
      <c r="C28" s="58">
        <f>C22+C26</f>
        <v>0</v>
      </c>
      <c r="D28" s="22" t="s">
        <v>31</v>
      </c>
      <c r="E28" s="22"/>
      <c r="F28" s="14"/>
    </row>
    <row r="29" spans="2:6" ht="21" x14ac:dyDescent="0.25">
      <c r="B29" s="34"/>
      <c r="C29" s="8"/>
      <c r="D29" s="9"/>
      <c r="E29" s="9"/>
    </row>
  </sheetData>
  <hyperlinks>
    <hyperlink ref="A1" r:id="rId1" xr:uid="{3AE8099A-5C9D-0B4D-99DE-66F851F1C3AF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25DC3-3184-134B-A291-956A778A272D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Intro</vt:lpstr>
      <vt:lpstr>EKS-MN-Fargate</vt:lpstr>
      <vt:lpstr>ECR</vt:lpstr>
      <vt:lpstr>RDS</vt:lpstr>
      <vt:lpstr>Secrets Manager</vt:lpstr>
      <vt:lpstr>Cloud9</vt:lpstr>
      <vt:lpstr>Certificate Manager</vt:lpstr>
      <vt:lpstr>CloudWatch</vt:lpstr>
      <vt:lpstr>Sheet7</vt:lpstr>
    </vt:vector>
  </TitlesOfParts>
  <Manager/>
  <Company>AWS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AB III</dc:title>
  <dc:subject>AWS Services Pricing Scenarios</dc:subject>
  <dc:creator>Richard Ernst, ernstric@amazon.com</dc:creator>
  <cp:keywords/>
  <dc:description/>
  <cp:lastModifiedBy>Richard Ernst</cp:lastModifiedBy>
  <dcterms:created xsi:type="dcterms:W3CDTF">2021-03-03T21:59:18Z</dcterms:created>
  <dcterms:modified xsi:type="dcterms:W3CDTF">2021-03-05T14:42:42Z</dcterms:modified>
  <cp:category/>
</cp:coreProperties>
</file>