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4cgpyl-my.sharepoint.com/personal/richscc_4cgpyl_onmicrosoft_com/Documents/Office365/"/>
    </mc:Choice>
  </mc:AlternateContent>
  <xr:revisionPtr revIDLastSave="285" documentId="11_1F9056472441A39037FEB22D3B638394B7734CC4" xr6:coauthVersionLast="47" xr6:coauthVersionMax="47" xr10:uidLastSave="{6FE0CA54-B9F0-425D-8AEE-B24FBABB6F22}"/>
  <bookViews>
    <workbookView xWindow="-108" yWindow="-108" windowWidth="23256" windowHeight="12456" activeTab="2" xr2:uid="{00000000-000D-0000-FFFF-FFFF00000000}"/>
  </bookViews>
  <sheets>
    <sheet name="20-12-2023" sheetId="2" r:id="rId1"/>
    <sheet name="Analisis_Estructural" sheetId="3" r:id="rId2"/>
    <sheet name="Autocad" sheetId="4" r:id="rId3"/>
  </sheets>
  <functionGroups builtInGroupCount="19"/>
  <definedNames>
    <definedName name="_xlnm.Print_Area" localSheetId="0">'20-12-2023'!$A$1:$J$1582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2" i="4" l="1"/>
  <c r="C42" i="4"/>
  <c r="C41" i="4"/>
  <c r="B41" i="4"/>
  <c r="C40" i="4"/>
  <c r="B40" i="4"/>
  <c r="B39" i="4"/>
  <c r="C39" i="4"/>
  <c r="C38" i="4"/>
  <c r="B38" i="4"/>
  <c r="C37" i="4"/>
  <c r="B37" i="4"/>
  <c r="C36" i="4"/>
  <c r="B36" i="4"/>
  <c r="B35" i="4"/>
  <c r="C34" i="4"/>
  <c r="B34" i="4"/>
  <c r="C33" i="4"/>
  <c r="B33" i="4"/>
  <c r="C32" i="4"/>
  <c r="B32" i="4"/>
  <c r="C31" i="4"/>
  <c r="C30" i="4"/>
  <c r="B28" i="4"/>
  <c r="B27" i="4"/>
  <c r="B26" i="4"/>
  <c r="B25" i="4"/>
  <c r="B24" i="4"/>
  <c r="C24" i="4"/>
  <c r="C23" i="4"/>
  <c r="C25" i="4" s="1"/>
  <c r="B31" i="4"/>
  <c r="B13" i="4"/>
  <c r="C12" i="4"/>
  <c r="B12" i="4"/>
  <c r="B11" i="4"/>
  <c r="C6" i="4"/>
  <c r="C7" i="4" s="1"/>
  <c r="B6" i="4"/>
  <c r="B9" i="4" s="1"/>
  <c r="C5" i="4"/>
  <c r="C1112" i="2"/>
  <c r="A1118" i="2"/>
  <c r="C1119" i="2"/>
  <c r="C1113" i="2"/>
  <c r="C1118" i="2"/>
  <c r="A1119" i="2"/>
  <c r="C1115" i="2"/>
  <c r="F1118" i="2"/>
  <c r="C1114" i="2"/>
  <c r="D1118" i="2"/>
  <c r="D1095" i="2"/>
  <c r="D1094" i="2"/>
  <c r="D1091" i="2"/>
  <c r="D1090" i="2"/>
  <c r="D1066" i="2"/>
  <c r="D1065" i="2"/>
  <c r="D1067" i="2"/>
  <c r="C1014" i="2"/>
  <c r="C1005" i="2"/>
  <c r="C1001" i="2"/>
  <c r="C1003" i="2"/>
  <c r="B967" i="2"/>
  <c r="B972" i="2"/>
  <c r="D972" i="2"/>
  <c r="B962" i="2"/>
  <c r="D941" i="2"/>
  <c r="B936" i="2"/>
  <c r="B941" i="2"/>
  <c r="B931" i="2"/>
  <c r="D909" i="2"/>
  <c r="B904" i="2"/>
  <c r="B909" i="2"/>
  <c r="B899" i="2"/>
  <c r="F731" i="2"/>
  <c r="F732" i="2"/>
  <c r="F733" i="2"/>
  <c r="F734" i="2"/>
  <c r="F735" i="2"/>
  <c r="F736" i="2"/>
  <c r="F737" i="2"/>
  <c r="F738" i="2"/>
  <c r="F739" i="2"/>
  <c r="F740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D724" i="2"/>
  <c r="D723" i="2"/>
  <c r="D718" i="2"/>
  <c r="D717" i="2"/>
  <c r="D709" i="2"/>
  <c r="D706" i="2"/>
  <c r="D705" i="2"/>
  <c r="D704" i="2"/>
  <c r="D699" i="2"/>
  <c r="D698" i="2"/>
  <c r="D694" i="2"/>
  <c r="D693" i="2"/>
  <c r="D692" i="2"/>
  <c r="E690" i="2"/>
  <c r="J667" i="2"/>
  <c r="D667" i="2"/>
  <c r="B667" i="2"/>
  <c r="J666" i="2"/>
  <c r="B666" i="2"/>
  <c r="J665" i="2"/>
  <c r="B665" i="2"/>
  <c r="J664" i="2"/>
  <c r="B664" i="2"/>
  <c r="J663" i="2"/>
  <c r="B663" i="2"/>
  <c r="J662" i="2"/>
  <c r="B662" i="2"/>
  <c r="J661" i="2"/>
  <c r="J660" i="2"/>
  <c r="J659" i="2"/>
  <c r="J658" i="2"/>
  <c r="J657" i="2"/>
  <c r="J656" i="2"/>
  <c r="J655" i="2"/>
  <c r="J654" i="2"/>
  <c r="J653" i="2"/>
  <c r="J652" i="2"/>
  <c r="J651" i="2"/>
  <c r="J650" i="2"/>
  <c r="J649" i="2"/>
  <c r="J648" i="2"/>
  <c r="J64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B643" i="2"/>
  <c r="B642" i="2"/>
  <c r="J629" i="2"/>
  <c r="J630" i="2"/>
  <c r="J631" i="2"/>
  <c r="J632" i="2"/>
  <c r="J633" i="2"/>
  <c r="J634" i="2"/>
  <c r="J635" i="2"/>
  <c r="J636" i="2"/>
  <c r="J637" i="2"/>
  <c r="J638" i="2"/>
  <c r="J628" i="2"/>
  <c r="J627" i="2"/>
  <c r="J626" i="2"/>
  <c r="J625" i="2"/>
  <c r="J624" i="2"/>
  <c r="J623" i="2"/>
  <c r="J622" i="2"/>
  <c r="J621" i="2"/>
  <c r="J620" i="2"/>
  <c r="J619" i="2"/>
  <c r="J618" i="2"/>
  <c r="D707" i="2"/>
  <c r="D710" i="2"/>
  <c r="D713" i="2" s="1"/>
  <c r="D719" i="2"/>
  <c r="D725" i="2"/>
  <c r="D695" i="2"/>
  <c r="J639" i="2"/>
  <c r="J668" i="2"/>
  <c r="D598" i="2"/>
  <c r="B612" i="2"/>
  <c r="B611" i="2"/>
  <c r="D584" i="2"/>
  <c r="D580" i="2"/>
  <c r="C569" i="2"/>
  <c r="C567" i="2"/>
  <c r="C558" i="2"/>
  <c r="C556" i="2"/>
  <c r="D500" i="2"/>
  <c r="D499" i="2"/>
  <c r="D498" i="2"/>
  <c r="D497" i="2"/>
  <c r="D496" i="2"/>
  <c r="D495" i="2"/>
  <c r="D494" i="2"/>
  <c r="D493" i="2"/>
  <c r="D492" i="2"/>
  <c r="D491" i="2"/>
  <c r="D490" i="2"/>
  <c r="E480" i="2"/>
  <c r="D489" i="2"/>
  <c r="D488" i="2"/>
  <c r="D487" i="2"/>
  <c r="D486" i="2"/>
  <c r="D485" i="2"/>
  <c r="D484" i="2"/>
  <c r="D483" i="2"/>
  <c r="D482" i="2"/>
  <c r="D481" i="2"/>
  <c r="D480" i="2"/>
  <c r="E499" i="2"/>
  <c r="D665" i="2"/>
  <c r="E500" i="2"/>
  <c r="D666" i="2"/>
  <c r="F499" i="2"/>
  <c r="F500" i="2"/>
  <c r="E490" i="2"/>
  <c r="D656" i="2"/>
  <c r="E491" i="2"/>
  <c r="D657" i="2"/>
  <c r="E492" i="2"/>
  <c r="D658" i="2"/>
  <c r="E493" i="2"/>
  <c r="D659" i="2"/>
  <c r="E494" i="2"/>
  <c r="E495" i="2"/>
  <c r="D661" i="2"/>
  <c r="E496" i="2"/>
  <c r="D662" i="2"/>
  <c r="E497" i="2"/>
  <c r="D663" i="2"/>
  <c r="E498" i="2"/>
  <c r="F490" i="2"/>
  <c r="F491" i="2"/>
  <c r="F492" i="2"/>
  <c r="F493" i="2"/>
  <c r="F494" i="2"/>
  <c r="F495" i="2"/>
  <c r="F496" i="2"/>
  <c r="F497" i="2"/>
  <c r="F498" i="2"/>
  <c r="B428" i="2"/>
  <c r="B453" i="2"/>
  <c r="B481" i="2"/>
  <c r="B429" i="2"/>
  <c r="B454" i="2"/>
  <c r="B482" i="2"/>
  <c r="B430" i="2"/>
  <c r="B455" i="2"/>
  <c r="B483" i="2"/>
  <c r="B431" i="2"/>
  <c r="B456" i="2"/>
  <c r="B484" i="2"/>
  <c r="B432" i="2"/>
  <c r="B457" i="2"/>
  <c r="B485" i="2"/>
  <c r="B433" i="2"/>
  <c r="B458" i="2"/>
  <c r="B486" i="2"/>
  <c r="B434" i="2"/>
  <c r="B459" i="2"/>
  <c r="B487" i="2"/>
  <c r="B435" i="2"/>
  <c r="B460" i="2"/>
  <c r="B488" i="2"/>
  <c r="B436" i="2"/>
  <c r="B461" i="2"/>
  <c r="B489" i="2"/>
  <c r="B437" i="2"/>
  <c r="B462" i="2"/>
  <c r="B490" i="2"/>
  <c r="B438" i="2"/>
  <c r="B463" i="2"/>
  <c r="B491" i="2"/>
  <c r="B439" i="2"/>
  <c r="B464" i="2"/>
  <c r="B492" i="2"/>
  <c r="B440" i="2"/>
  <c r="B465" i="2"/>
  <c r="B493" i="2"/>
  <c r="B441" i="2"/>
  <c r="B466" i="2"/>
  <c r="B494" i="2"/>
  <c r="B442" i="2"/>
  <c r="B467" i="2"/>
  <c r="B495" i="2"/>
  <c r="B443" i="2"/>
  <c r="B468" i="2"/>
  <c r="B496" i="2"/>
  <c r="B444" i="2"/>
  <c r="B469" i="2"/>
  <c r="B497" i="2"/>
  <c r="B445" i="2"/>
  <c r="B470" i="2"/>
  <c r="B498" i="2"/>
  <c r="B446" i="2"/>
  <c r="B471" i="2"/>
  <c r="B499" i="2"/>
  <c r="B447" i="2"/>
  <c r="B472" i="2"/>
  <c r="B500" i="2"/>
  <c r="B427" i="2"/>
  <c r="B452" i="2"/>
  <c r="B480" i="2"/>
  <c r="E484" i="2"/>
  <c r="D650" i="2"/>
  <c r="F480" i="2"/>
  <c r="E489" i="2"/>
  <c r="D655" i="2"/>
  <c r="F488" i="2"/>
  <c r="E488" i="2"/>
  <c r="D654" i="2"/>
  <c r="F487" i="2"/>
  <c r="F486" i="2"/>
  <c r="F485" i="2"/>
  <c r="E486" i="2"/>
  <c r="D652" i="2"/>
  <c r="F484" i="2"/>
  <c r="F483" i="2"/>
  <c r="F482" i="2"/>
  <c r="E482" i="2"/>
  <c r="D648" i="2"/>
  <c r="F481" i="2"/>
  <c r="E481" i="2"/>
  <c r="D647" i="2"/>
  <c r="F437" i="2"/>
  <c r="G437" i="2"/>
  <c r="F438" i="2"/>
  <c r="G438" i="2"/>
  <c r="F439" i="2"/>
  <c r="G439" i="2"/>
  <c r="F440" i="2"/>
  <c r="G440" i="2"/>
  <c r="F441" i="2"/>
  <c r="G441" i="2"/>
  <c r="F442" i="2"/>
  <c r="G442" i="2"/>
  <c r="F443" i="2"/>
  <c r="G443" i="2"/>
  <c r="F444" i="2"/>
  <c r="G444" i="2"/>
  <c r="F445" i="2"/>
  <c r="G445" i="2"/>
  <c r="F446" i="2"/>
  <c r="G446" i="2"/>
  <c r="F447" i="2"/>
  <c r="G447" i="2"/>
  <c r="F424" i="2"/>
  <c r="G424" i="2"/>
  <c r="F423" i="2"/>
  <c r="G423" i="2"/>
  <c r="F422" i="2"/>
  <c r="G422" i="2"/>
  <c r="F421" i="2"/>
  <c r="G421" i="2"/>
  <c r="F420" i="2"/>
  <c r="G420" i="2"/>
  <c r="F419" i="2"/>
  <c r="G419" i="2"/>
  <c r="F418" i="2"/>
  <c r="G418" i="2"/>
  <c r="F417" i="2"/>
  <c r="G417" i="2"/>
  <c r="F416" i="2"/>
  <c r="G416" i="2"/>
  <c r="F415" i="2"/>
  <c r="G415" i="2"/>
  <c r="F414" i="2"/>
  <c r="G414" i="2"/>
  <c r="F360" i="2"/>
  <c r="E360" i="2"/>
  <c r="E364" i="2"/>
  <c r="D369" i="2"/>
  <c r="D368" i="2"/>
  <c r="D367" i="2"/>
  <c r="D366" i="2"/>
  <c r="D365" i="2"/>
  <c r="D364" i="2"/>
  <c r="D363" i="2"/>
  <c r="D362" i="2"/>
  <c r="D361" i="2"/>
  <c r="D360" i="2"/>
  <c r="H360" i="2"/>
  <c r="E352" i="2"/>
  <c r="F351" i="2"/>
  <c r="E351" i="2"/>
  <c r="F350" i="2"/>
  <c r="E350" i="2"/>
  <c r="F349" i="2"/>
  <c r="F348" i="2"/>
  <c r="E348" i="2"/>
  <c r="F347" i="2"/>
  <c r="F346" i="2"/>
  <c r="F345" i="2"/>
  <c r="E345" i="2"/>
  <c r="F344" i="2"/>
  <c r="E344" i="2"/>
  <c r="F318" i="2"/>
  <c r="G436" i="2"/>
  <c r="F436" i="2"/>
  <c r="G435" i="2"/>
  <c r="F435" i="2"/>
  <c r="G434" i="2"/>
  <c r="F434" i="2"/>
  <c r="G433" i="2"/>
  <c r="F433" i="2"/>
  <c r="G432" i="2"/>
  <c r="F432" i="2"/>
  <c r="G431" i="2"/>
  <c r="F431" i="2"/>
  <c r="G430" i="2"/>
  <c r="F430" i="2"/>
  <c r="G429" i="2"/>
  <c r="F429" i="2"/>
  <c r="G428" i="2"/>
  <c r="F428" i="2"/>
  <c r="G427" i="2"/>
  <c r="F427" i="2"/>
  <c r="G413" i="2"/>
  <c r="F413" i="2"/>
  <c r="G412" i="2"/>
  <c r="F412" i="2"/>
  <c r="G411" i="2"/>
  <c r="F411" i="2"/>
  <c r="G410" i="2"/>
  <c r="F410" i="2"/>
  <c r="G409" i="2"/>
  <c r="F409" i="2"/>
  <c r="G408" i="2"/>
  <c r="F408" i="2"/>
  <c r="G407" i="2"/>
  <c r="F407" i="2"/>
  <c r="G406" i="2"/>
  <c r="F406" i="2"/>
  <c r="G405" i="2"/>
  <c r="F405" i="2"/>
  <c r="G404" i="2"/>
  <c r="H404" i="2" s="1"/>
  <c r="F404" i="2"/>
  <c r="G492" i="2"/>
  <c r="G494" i="2"/>
  <c r="D660" i="2"/>
  <c r="G498" i="2"/>
  <c r="D664" i="2"/>
  <c r="G500" i="2"/>
  <c r="F365" i="2"/>
  <c r="H365" i="2" s="1"/>
  <c r="D603" i="2"/>
  <c r="F366" i="2"/>
  <c r="H366" i="2"/>
  <c r="D604" i="2"/>
  <c r="G499" i="2"/>
  <c r="F361" i="2"/>
  <c r="H361" i="2"/>
  <c r="D599" i="2"/>
  <c r="F367" i="2"/>
  <c r="H367" i="2"/>
  <c r="D605" i="2"/>
  <c r="H496" i="2"/>
  <c r="F363" i="2"/>
  <c r="H363" i="2"/>
  <c r="D601" i="2"/>
  <c r="F352" i="2"/>
  <c r="D606" i="2"/>
  <c r="G497" i="2"/>
  <c r="F362" i="2"/>
  <c r="H362" i="2"/>
  <c r="D600" i="2"/>
  <c r="F364" i="2"/>
  <c r="H364" i="2"/>
  <c r="D602" i="2"/>
  <c r="H497" i="2"/>
  <c r="H499" i="2"/>
  <c r="E349" i="2"/>
  <c r="D585" i="2"/>
  <c r="H498" i="2"/>
  <c r="H490" i="2"/>
  <c r="E368" i="2"/>
  <c r="G368" i="2" s="1"/>
  <c r="G370" i="2" s="1"/>
  <c r="G372" i="2" s="1"/>
  <c r="D588" i="2"/>
  <c r="E361" i="2"/>
  <c r="D581" i="2"/>
  <c r="E367" i="2"/>
  <c r="G367" i="2"/>
  <c r="D587" i="2"/>
  <c r="G496" i="2"/>
  <c r="E369" i="2"/>
  <c r="D589" i="2"/>
  <c r="E346" i="2"/>
  <c r="D582" i="2"/>
  <c r="G493" i="2"/>
  <c r="H495" i="2"/>
  <c r="H500" i="2"/>
  <c r="G490" i="2"/>
  <c r="G495" i="2"/>
  <c r="H494" i="2"/>
  <c r="H493" i="2"/>
  <c r="H492" i="2"/>
  <c r="H491" i="2"/>
  <c r="G491" i="2"/>
  <c r="D501" i="2"/>
  <c r="H418" i="2"/>
  <c r="I418" i="2" s="1"/>
  <c r="H424" i="2"/>
  <c r="I424" i="2"/>
  <c r="H444" i="2"/>
  <c r="I444" i="2"/>
  <c r="H440" i="2"/>
  <c r="I440" i="2"/>
  <c r="H487" i="2"/>
  <c r="H441" i="2"/>
  <c r="I441" i="2"/>
  <c r="G364" i="2"/>
  <c r="G488" i="2"/>
  <c r="H419" i="2"/>
  <c r="I419" i="2"/>
  <c r="D370" i="2"/>
  <c r="H443" i="2"/>
  <c r="I443" i="2" s="1"/>
  <c r="G484" i="2"/>
  <c r="H442" i="2"/>
  <c r="I442" i="2"/>
  <c r="B656" i="2"/>
  <c r="E365" i="2"/>
  <c r="G365" i="2"/>
  <c r="G480" i="2"/>
  <c r="G501" i="2" s="1"/>
  <c r="G360" i="2"/>
  <c r="F368" i="2"/>
  <c r="H368" i="2"/>
  <c r="H446" i="2"/>
  <c r="I446" i="2"/>
  <c r="B660" i="2"/>
  <c r="H486" i="2"/>
  <c r="H480" i="2"/>
  <c r="H501" i="2" s="1"/>
  <c r="D503" i="2" s="1"/>
  <c r="H485" i="2"/>
  <c r="H438" i="2"/>
  <c r="I438" i="2"/>
  <c r="B652" i="2"/>
  <c r="H417" i="2"/>
  <c r="I417" i="2"/>
  <c r="H488" i="2"/>
  <c r="H414" i="2"/>
  <c r="I414" i="2" s="1"/>
  <c r="B628" i="2" s="1"/>
  <c r="H422" i="2"/>
  <c r="I422" i="2"/>
  <c r="H447" i="2"/>
  <c r="I447" i="2"/>
  <c r="H439" i="2"/>
  <c r="I439" i="2"/>
  <c r="B653" i="2"/>
  <c r="H482" i="2"/>
  <c r="G486" i="2"/>
  <c r="E485" i="2"/>
  <c r="E362" i="2"/>
  <c r="H415" i="2"/>
  <c r="I415" i="2"/>
  <c r="H423" i="2"/>
  <c r="I423" i="2"/>
  <c r="B637" i="2" s="1"/>
  <c r="F489" i="2"/>
  <c r="H489" i="2"/>
  <c r="H416" i="2"/>
  <c r="I416" i="2"/>
  <c r="H420" i="2"/>
  <c r="I420" i="2"/>
  <c r="H421" i="2"/>
  <c r="I421" i="2"/>
  <c r="B635" i="2" s="1"/>
  <c r="H445" i="2"/>
  <c r="I445" i="2"/>
  <c r="B659" i="2" s="1"/>
  <c r="H437" i="2"/>
  <c r="I437" i="2"/>
  <c r="H481" i="2"/>
  <c r="H484" i="2"/>
  <c r="H483" i="2"/>
  <c r="G481" i="2"/>
  <c r="E483" i="2"/>
  <c r="G489" i="2"/>
  <c r="E487" i="2"/>
  <c r="G482" i="2"/>
  <c r="I404" i="2"/>
  <c r="H408" i="2"/>
  <c r="I408" i="2" s="1"/>
  <c r="C456" i="2" s="1"/>
  <c r="G456" i="2" s="1"/>
  <c r="H412" i="2"/>
  <c r="I412" i="2"/>
  <c r="H429" i="2"/>
  <c r="I429" i="2"/>
  <c r="H427" i="2"/>
  <c r="I427" i="2"/>
  <c r="H431" i="2"/>
  <c r="I431" i="2" s="1"/>
  <c r="D456" i="2" s="1"/>
  <c r="H456" i="2" s="1"/>
  <c r="H406" i="2"/>
  <c r="I406" i="2"/>
  <c r="H433" i="2"/>
  <c r="I433" i="2"/>
  <c r="B647" i="2"/>
  <c r="H405" i="2"/>
  <c r="I405" i="2"/>
  <c r="C453" i="2" s="1"/>
  <c r="G453" i="2" s="1"/>
  <c r="H435" i="2"/>
  <c r="I435" i="2"/>
  <c r="B649" i="2"/>
  <c r="H413" i="2"/>
  <c r="I413" i="2"/>
  <c r="H434" i="2"/>
  <c r="I434" i="2"/>
  <c r="B648" i="2"/>
  <c r="H410" i="2"/>
  <c r="I410" i="2"/>
  <c r="H407" i="2"/>
  <c r="I407" i="2"/>
  <c r="H430" i="2"/>
  <c r="I430" i="2"/>
  <c r="H409" i="2"/>
  <c r="I409" i="2"/>
  <c r="C457" i="2" s="1"/>
  <c r="G457" i="2" s="1"/>
  <c r="H428" i="2"/>
  <c r="I428" i="2"/>
  <c r="H432" i="2"/>
  <c r="I432" i="2"/>
  <c r="H411" i="2"/>
  <c r="I411" i="2"/>
  <c r="H436" i="2"/>
  <c r="I436" i="2"/>
  <c r="D461" i="2" s="1"/>
  <c r="H461" i="2" s="1"/>
  <c r="G338" i="2"/>
  <c r="F338" i="2"/>
  <c r="G337" i="2"/>
  <c r="F337" i="2"/>
  <c r="G336" i="2"/>
  <c r="F336" i="2"/>
  <c r="G335" i="2"/>
  <c r="F335" i="2"/>
  <c r="G334" i="2"/>
  <c r="F334" i="2"/>
  <c r="G333" i="2"/>
  <c r="F333" i="2"/>
  <c r="G332" i="2"/>
  <c r="F332" i="2"/>
  <c r="G331" i="2"/>
  <c r="F331" i="2"/>
  <c r="G330" i="2"/>
  <c r="F330" i="2"/>
  <c r="G329" i="2"/>
  <c r="F329" i="2"/>
  <c r="G318" i="2"/>
  <c r="H318" i="2"/>
  <c r="I318" i="2"/>
  <c r="G319" i="2"/>
  <c r="G320" i="2"/>
  <c r="G321" i="2"/>
  <c r="G322" i="2"/>
  <c r="G323" i="2"/>
  <c r="G324" i="2"/>
  <c r="G325" i="2"/>
  <c r="G326" i="2"/>
  <c r="G317" i="2"/>
  <c r="H317" i="2" s="1"/>
  <c r="I317" i="2" s="1"/>
  <c r="B580" i="2" s="1"/>
  <c r="F319" i="2"/>
  <c r="F320" i="2"/>
  <c r="F321" i="2"/>
  <c r="F322" i="2"/>
  <c r="F323" i="2"/>
  <c r="F324" i="2"/>
  <c r="F325" i="2"/>
  <c r="F326" i="2"/>
  <c r="H326" i="2" s="1"/>
  <c r="I326" i="2" s="1"/>
  <c r="F317" i="2"/>
  <c r="C121" i="2"/>
  <c r="H106" i="2"/>
  <c r="G135" i="2"/>
  <c r="E114" i="2"/>
  <c r="E113" i="2"/>
  <c r="C107" i="2"/>
  <c r="H107" i="2"/>
  <c r="D181" i="2" s="1"/>
  <c r="E181" i="2" s="1"/>
  <c r="B65" i="2"/>
  <c r="B80" i="2"/>
  <c r="F97" i="2"/>
  <c r="F98" i="2"/>
  <c r="D44" i="2"/>
  <c r="D41" i="2"/>
  <c r="C41" i="2"/>
  <c r="C39" i="2"/>
  <c r="D39" i="2" s="1"/>
  <c r="D177" i="2" s="1"/>
  <c r="D38" i="2"/>
  <c r="B39" i="2"/>
  <c r="D472" i="2"/>
  <c r="H472" i="2"/>
  <c r="B661" i="2"/>
  <c r="D465" i="2"/>
  <c r="H465" i="2" s="1"/>
  <c r="B654" i="2"/>
  <c r="D462" i="2"/>
  <c r="H462" i="2"/>
  <c r="B651" i="2"/>
  <c r="D469" i="2"/>
  <c r="H469" i="2"/>
  <c r="B658" i="2"/>
  <c r="G487" i="2"/>
  <c r="D653" i="2"/>
  <c r="G485" i="2"/>
  <c r="G483" i="2"/>
  <c r="G503" i="2"/>
  <c r="D651" i="2"/>
  <c r="D649" i="2"/>
  <c r="B650" i="2"/>
  <c r="D466" i="2"/>
  <c r="H466" i="2"/>
  <c r="B655" i="2"/>
  <c r="C465" i="2"/>
  <c r="G465" i="2" s="1"/>
  <c r="B631" i="2"/>
  <c r="C463" i="2"/>
  <c r="G463" i="2" s="1"/>
  <c r="B629" i="2"/>
  <c r="C470" i="2"/>
  <c r="G470" i="2"/>
  <c r="B636" i="2"/>
  <c r="C467" i="2"/>
  <c r="G467" i="2" s="1"/>
  <c r="B633" i="2"/>
  <c r="C459" i="2"/>
  <c r="G459" i="2" s="1"/>
  <c r="B625" i="2"/>
  <c r="C454" i="2"/>
  <c r="G454" i="2"/>
  <c r="B620" i="2"/>
  <c r="C455" i="2"/>
  <c r="G455" i="2"/>
  <c r="B621" i="2"/>
  <c r="C469" i="2"/>
  <c r="G469" i="2" s="1"/>
  <c r="C461" i="2"/>
  <c r="G461" i="2"/>
  <c r="B627" i="2"/>
  <c r="C458" i="2"/>
  <c r="G458" i="2"/>
  <c r="B624" i="2"/>
  <c r="C468" i="2"/>
  <c r="G468" i="2" s="1"/>
  <c r="B634" i="2"/>
  <c r="C464" i="2"/>
  <c r="G464" i="2"/>
  <c r="B630" i="2"/>
  <c r="C460" i="2"/>
  <c r="G460" i="2"/>
  <c r="B626" i="2"/>
  <c r="C472" i="2"/>
  <c r="G472" i="2"/>
  <c r="B638" i="2"/>
  <c r="C471" i="2"/>
  <c r="G471" i="2" s="1"/>
  <c r="F369" i="2"/>
  <c r="H369" i="2"/>
  <c r="D607" i="2"/>
  <c r="G362" i="2"/>
  <c r="G369" i="2"/>
  <c r="G361" i="2"/>
  <c r="E363" i="2"/>
  <c r="D583" i="2"/>
  <c r="E366" i="2"/>
  <c r="D586" i="2"/>
  <c r="D453" i="2"/>
  <c r="D471" i="2"/>
  <c r="H471" i="2"/>
  <c r="D458" i="2"/>
  <c r="H458" i="2"/>
  <c r="D455" i="2"/>
  <c r="H455" i="2"/>
  <c r="D463" i="2"/>
  <c r="H463" i="2"/>
  <c r="D470" i="2"/>
  <c r="H470" i="2"/>
  <c r="D457" i="2"/>
  <c r="H457" i="2"/>
  <c r="D460" i="2"/>
  <c r="H460" i="2" s="1"/>
  <c r="D459" i="2"/>
  <c r="H459" i="2" s="1"/>
  <c r="D454" i="2"/>
  <c r="H454" i="2"/>
  <c r="D452" i="2"/>
  <c r="D467" i="2"/>
  <c r="H467" i="2"/>
  <c r="D464" i="2"/>
  <c r="H464" i="2" s="1"/>
  <c r="C101" i="2"/>
  <c r="H332" i="2"/>
  <c r="I332" i="2"/>
  <c r="H319" i="2"/>
  <c r="I319" i="2" s="1"/>
  <c r="H325" i="2"/>
  <c r="I325" i="2"/>
  <c r="B588" i="2" s="1"/>
  <c r="H323" i="2"/>
  <c r="I323" i="2"/>
  <c r="H322" i="2"/>
  <c r="I322" i="2"/>
  <c r="C348" i="2" s="1"/>
  <c r="G348" i="2" s="1"/>
  <c r="H324" i="2"/>
  <c r="I324" i="2"/>
  <c r="H321" i="2"/>
  <c r="I321" i="2"/>
  <c r="H320" i="2"/>
  <c r="I320" i="2"/>
  <c r="H329" i="2"/>
  <c r="I329" i="2"/>
  <c r="D343" i="2" s="1"/>
  <c r="H343" i="2" s="1"/>
  <c r="H337" i="2"/>
  <c r="I337" i="2"/>
  <c r="B606" i="2" s="1"/>
  <c r="H331" i="2"/>
  <c r="I331" i="2" s="1"/>
  <c r="H335" i="2"/>
  <c r="I335" i="2"/>
  <c r="H336" i="2"/>
  <c r="I336" i="2"/>
  <c r="B605" i="2" s="1"/>
  <c r="H333" i="2"/>
  <c r="I333" i="2"/>
  <c r="D347" i="2" s="1"/>
  <c r="H347" i="2" s="1"/>
  <c r="H334" i="2"/>
  <c r="I334" i="2"/>
  <c r="H338" i="2"/>
  <c r="I338" i="2" s="1"/>
  <c r="H330" i="2"/>
  <c r="I330" i="2"/>
  <c r="E41" i="2"/>
  <c r="D30" i="2"/>
  <c r="D29" i="2"/>
  <c r="C256" i="2"/>
  <c r="E251" i="2"/>
  <c r="E250" i="2"/>
  <c r="C235" i="2"/>
  <c r="C234" i="2"/>
  <c r="C236" i="2"/>
  <c r="F6" i="2"/>
  <c r="F14" i="2" s="1"/>
  <c r="C29" i="2" s="1"/>
  <c r="E29" i="2" s="1"/>
  <c r="C176" i="2" s="1"/>
  <c r="F18" i="2"/>
  <c r="F7" i="2"/>
  <c r="F19" i="2"/>
  <c r="F8" i="2"/>
  <c r="F20" i="2"/>
  <c r="F9" i="2"/>
  <c r="F21" i="2"/>
  <c r="F22" i="2"/>
  <c r="F26" i="2" s="1"/>
  <c r="F23" i="2"/>
  <c r="F24" i="2"/>
  <c r="F25" i="2"/>
  <c r="F10" i="2"/>
  <c r="F11" i="2"/>
  <c r="F12" i="2"/>
  <c r="F13" i="2"/>
  <c r="B184" i="2"/>
  <c r="B183" i="2"/>
  <c r="B182" i="2"/>
  <c r="B181" i="2"/>
  <c r="B180" i="2"/>
  <c r="B179" i="2"/>
  <c r="B178" i="2"/>
  <c r="B177" i="2"/>
  <c r="C153" i="2"/>
  <c r="D153" i="2"/>
  <c r="G153" i="2"/>
  <c r="H153" i="2"/>
  <c r="D135" i="2"/>
  <c r="C135" i="2"/>
  <c r="H135" i="2"/>
  <c r="F114" i="2"/>
  <c r="D182" i="2"/>
  <c r="E182" i="2" s="1"/>
  <c r="F113" i="2"/>
  <c r="C182" i="2"/>
  <c r="H121" i="2"/>
  <c r="D183" i="2"/>
  <c r="H120" i="2"/>
  <c r="C181" i="2"/>
  <c r="F89" i="2"/>
  <c r="F90" i="2" s="1"/>
  <c r="F88" i="2"/>
  <c r="F71" i="2"/>
  <c r="F72" i="2"/>
  <c r="F73" i="2"/>
  <c r="F74" i="2"/>
  <c r="F75" i="2"/>
  <c r="F76" i="2"/>
  <c r="F70" i="2"/>
  <c r="F77" i="2" s="1"/>
  <c r="C80" i="2" s="1"/>
  <c r="D80" i="2" s="1"/>
  <c r="C179" i="2" s="1"/>
  <c r="D179" i="2" s="1"/>
  <c r="B68" i="2"/>
  <c r="B93" i="2"/>
  <c r="B101" i="2" s="1"/>
  <c r="D101" i="2" s="1"/>
  <c r="D180" i="2" s="1"/>
  <c r="B64" i="2"/>
  <c r="B79" i="2"/>
  <c r="B92" i="2"/>
  <c r="B100" i="2"/>
  <c r="F61" i="2"/>
  <c r="F62" i="2" s="1"/>
  <c r="C65" i="2" s="1"/>
  <c r="D65" i="2" s="1"/>
  <c r="F60" i="2"/>
  <c r="F49" i="2"/>
  <c r="F50" i="2"/>
  <c r="F51" i="2"/>
  <c r="F52" i="2"/>
  <c r="G42" i="2"/>
  <c r="D344" i="2"/>
  <c r="H344" i="2"/>
  <c r="B599" i="2"/>
  <c r="D348" i="2"/>
  <c r="H348" i="2"/>
  <c r="B603" i="2"/>
  <c r="D346" i="2"/>
  <c r="H346" i="2" s="1"/>
  <c r="B601" i="2"/>
  <c r="B602" i="2"/>
  <c r="G366" i="2"/>
  <c r="D350" i="2"/>
  <c r="H350" i="2" s="1"/>
  <c r="D351" i="2"/>
  <c r="H351" i="2"/>
  <c r="G363" i="2"/>
  <c r="C351" i="2"/>
  <c r="G351" i="2" s="1"/>
  <c r="B585" i="2"/>
  <c r="C346" i="2"/>
  <c r="G346" i="2" s="1"/>
  <c r="B583" i="2"/>
  <c r="C343" i="2"/>
  <c r="C347" i="2"/>
  <c r="G347" i="2" s="1"/>
  <c r="B584" i="2"/>
  <c r="C350" i="2"/>
  <c r="G350" i="2"/>
  <c r="B587" i="2"/>
  <c r="C349" i="2"/>
  <c r="G349" i="2" s="1"/>
  <c r="B586" i="2"/>
  <c r="H452" i="2"/>
  <c r="D166" i="2"/>
  <c r="C170" i="2" s="1"/>
  <c r="C183" i="2"/>
  <c r="E183" i="2"/>
  <c r="H122" i="2"/>
  <c r="H108" i="2"/>
  <c r="E252" i="2"/>
  <c r="F251" i="2"/>
  <c r="D158" i="2"/>
  <c r="F161" i="2" s="1"/>
  <c r="D157" i="2"/>
  <c r="C161" i="2" s="1"/>
  <c r="C43" i="2"/>
  <c r="C44" i="2"/>
  <c r="E44" i="2" s="1"/>
  <c r="C177" i="2" s="1"/>
  <c r="E177" i="2" s="1"/>
  <c r="D167" i="2"/>
  <c r="F170" i="2" s="1"/>
  <c r="D178" i="2"/>
  <c r="F115" i="2"/>
  <c r="C93" i="2"/>
  <c r="D93" i="2" s="1"/>
  <c r="C180" i="2" s="1"/>
  <c r="E180" i="2" s="1"/>
  <c r="F53" i="2"/>
  <c r="C56" i="2" s="1"/>
  <c r="D56" i="2" s="1"/>
  <c r="C178" i="2" s="1"/>
  <c r="E178" i="2" s="1"/>
  <c r="C30" i="2"/>
  <c r="E30" i="2"/>
  <c r="D176" i="2" s="1"/>
  <c r="F250" i="2"/>
  <c r="E171" i="2"/>
  <c r="D184" i="2" s="1"/>
  <c r="E179" i="2"/>
  <c r="B610" i="2"/>
  <c r="B592" i="2"/>
  <c r="C572" i="2"/>
  <c r="B7" i="4" l="1"/>
  <c r="B8" i="4" s="1"/>
  <c r="C452" i="2"/>
  <c r="B618" i="2"/>
  <c r="C352" i="2"/>
  <c r="G352" i="2" s="1"/>
  <c r="B589" i="2"/>
  <c r="B622" i="2"/>
  <c r="B581" i="2"/>
  <c r="C344" i="2"/>
  <c r="G344" i="2" s="1"/>
  <c r="C466" i="2"/>
  <c r="G466" i="2" s="1"/>
  <c r="B632" i="2"/>
  <c r="H370" i="2"/>
  <c r="D372" i="2" s="1"/>
  <c r="C185" i="2"/>
  <c r="E176" i="2"/>
  <c r="E185" i="2" s="1"/>
  <c r="C242" i="2" s="1"/>
  <c r="D349" i="2"/>
  <c r="H349" i="2" s="1"/>
  <c r="B604" i="2"/>
  <c r="C462" i="2"/>
  <c r="G462" i="2" s="1"/>
  <c r="D468" i="2"/>
  <c r="H468" i="2" s="1"/>
  <c r="B657" i="2"/>
  <c r="C353" i="2"/>
  <c r="G343" i="2"/>
  <c r="D185" i="2"/>
  <c r="B607" i="2"/>
  <c r="D352" i="2"/>
  <c r="H352" i="2" s="1"/>
  <c r="D345" i="2"/>
  <c r="B600" i="2"/>
  <c r="E162" i="2"/>
  <c r="C184" i="2" s="1"/>
  <c r="E184" i="2" s="1"/>
  <c r="C345" i="2"/>
  <c r="G345" i="2" s="1"/>
  <c r="B582" i="2"/>
  <c r="D473" i="2"/>
  <c r="H453" i="2"/>
  <c r="H473" i="2" s="1"/>
  <c r="D475" i="2" s="1"/>
  <c r="D520" i="2" s="1"/>
  <c r="C568" i="2" s="1"/>
  <c r="C573" i="2" s="1"/>
  <c r="B641" i="2"/>
  <c r="B623" i="2"/>
  <c r="C563" i="2"/>
  <c r="B670" i="2"/>
  <c r="B619" i="2"/>
  <c r="B598" i="2"/>
  <c r="C561" i="2"/>
  <c r="B594" i="2" s="1"/>
  <c r="C574" i="2"/>
  <c r="C473" i="2" l="1"/>
  <c r="G452" i="2"/>
  <c r="G473" i="2" s="1"/>
  <c r="B639" i="2"/>
  <c r="C633" i="2" s="1"/>
  <c r="H345" i="2"/>
  <c r="H353" i="2" s="1"/>
  <c r="D355" i="2" s="1"/>
  <c r="D353" i="2"/>
  <c r="B590" i="2"/>
  <c r="C629" i="2"/>
  <c r="C634" i="2"/>
  <c r="C667" i="2"/>
  <c r="C625" i="2"/>
  <c r="C619" i="2"/>
  <c r="C623" i="2"/>
  <c r="C657" i="2"/>
  <c r="C653" i="2"/>
  <c r="C650" i="2"/>
  <c r="C627" i="2"/>
  <c r="C631" i="2"/>
  <c r="C662" i="2"/>
  <c r="C651" i="2"/>
  <c r="C656" i="2"/>
  <c r="C637" i="2"/>
  <c r="B671" i="2" s="1"/>
  <c r="C628" i="2"/>
  <c r="C661" i="2"/>
  <c r="C655" i="2"/>
  <c r="C622" i="2"/>
  <c r="C621" i="2"/>
  <c r="C663" i="2"/>
  <c r="C649" i="2"/>
  <c r="C618" i="2"/>
  <c r="C626" i="2"/>
  <c r="C660" i="2"/>
  <c r="C635" i="2"/>
  <c r="C654" i="2"/>
  <c r="C630" i="2"/>
  <c r="C659" i="2"/>
  <c r="C652" i="2"/>
  <c r="C638" i="2"/>
  <c r="B672" i="2" s="1"/>
  <c r="C647" i="2"/>
  <c r="C664" i="2"/>
  <c r="C648" i="2"/>
  <c r="C632" i="2"/>
  <c r="C636" i="2"/>
  <c r="B608" i="2"/>
  <c r="C600" i="2" s="1"/>
  <c r="J600" i="2" s="1"/>
  <c r="G353" i="2"/>
  <c r="G355" i="2" s="1"/>
  <c r="B668" i="2"/>
  <c r="C658" i="2" s="1"/>
  <c r="C607" i="2" l="1"/>
  <c r="J607" i="2" s="1"/>
  <c r="G475" i="2"/>
  <c r="D521" i="2" s="1"/>
  <c r="C566" i="2" s="1"/>
  <c r="C571" i="2" s="1"/>
  <c r="C604" i="2"/>
  <c r="J604" i="2" s="1"/>
  <c r="E665" i="2"/>
  <c r="E656" i="2"/>
  <c r="E660" i="2"/>
  <c r="E635" i="2"/>
  <c r="E633" i="2"/>
  <c r="E630" i="2"/>
  <c r="E580" i="2"/>
  <c r="E586" i="2"/>
  <c r="E657" i="2"/>
  <c r="E658" i="2"/>
  <c r="E651" i="2"/>
  <c r="E626" i="2"/>
  <c r="E623" i="2"/>
  <c r="E636" i="2"/>
  <c r="E584" i="2"/>
  <c r="E583" i="2"/>
  <c r="E647" i="2"/>
  <c r="E652" i="2"/>
  <c r="E653" i="2"/>
  <c r="E625" i="2"/>
  <c r="E632" i="2"/>
  <c r="E622" i="2"/>
  <c r="E582" i="2"/>
  <c r="E648" i="2"/>
  <c r="E650" i="2"/>
  <c r="E649" i="2"/>
  <c r="E631" i="2"/>
  <c r="E629" i="2"/>
  <c r="E624" i="2"/>
  <c r="E587" i="2"/>
  <c r="E661" i="2"/>
  <c r="E663" i="2"/>
  <c r="E634" i="2"/>
  <c r="E621" i="2"/>
  <c r="E620" i="2"/>
  <c r="E588" i="2"/>
  <c r="E654" i="2"/>
  <c r="E655" i="2"/>
  <c r="E628" i="2"/>
  <c r="E638" i="2"/>
  <c r="E589" i="2"/>
  <c r="E627" i="2"/>
  <c r="E667" i="2"/>
  <c r="E637" i="2"/>
  <c r="E618" i="2"/>
  <c r="E666" i="2"/>
  <c r="E619" i="2"/>
  <c r="E662" i="2"/>
  <c r="E581" i="2"/>
  <c r="E659" i="2"/>
  <c r="E664" i="2"/>
  <c r="E585" i="2"/>
  <c r="D518" i="2"/>
  <c r="C555" i="2" s="1"/>
  <c r="C560" i="2" s="1"/>
  <c r="B593" i="2" s="1"/>
  <c r="C666" i="2"/>
  <c r="E604" i="2"/>
  <c r="E598" i="2"/>
  <c r="E601" i="2"/>
  <c r="E607" i="2"/>
  <c r="E599" i="2"/>
  <c r="E603" i="2"/>
  <c r="E605" i="2"/>
  <c r="E602" i="2"/>
  <c r="E606" i="2"/>
  <c r="E600" i="2"/>
  <c r="C603" i="2"/>
  <c r="J603" i="2" s="1"/>
  <c r="C605" i="2"/>
  <c r="J605" i="2" s="1"/>
  <c r="C606" i="2"/>
  <c r="J606" i="2" s="1"/>
  <c r="C599" i="2"/>
  <c r="J599" i="2" s="1"/>
  <c r="C602" i="2"/>
  <c r="J602" i="2" s="1"/>
  <c r="C598" i="2"/>
  <c r="J598" i="2" s="1"/>
  <c r="C601" i="2"/>
  <c r="J601" i="2" s="1"/>
  <c r="C624" i="2"/>
  <c r="C665" i="2"/>
  <c r="C620" i="2"/>
  <c r="C580" i="2"/>
  <c r="J580" i="2" s="1"/>
  <c r="J590" i="2" s="1"/>
  <c r="C585" i="2"/>
  <c r="J585" i="2" s="1"/>
  <c r="C584" i="2"/>
  <c r="J584" i="2" s="1"/>
  <c r="C581" i="2"/>
  <c r="J581" i="2" s="1"/>
  <c r="C586" i="2"/>
  <c r="J586" i="2" s="1"/>
  <c r="C583" i="2"/>
  <c r="J583" i="2" s="1"/>
  <c r="C588" i="2"/>
  <c r="J588" i="2" s="1"/>
  <c r="C587" i="2"/>
  <c r="J587" i="2" s="1"/>
  <c r="C589" i="2"/>
  <c r="J589" i="2" s="1"/>
  <c r="C582" i="2"/>
  <c r="J582" i="2" s="1"/>
  <c r="D517" i="2"/>
  <c r="C557" i="2" s="1"/>
  <c r="C562" i="2" s="1"/>
  <c r="G586" i="2" l="1"/>
  <c r="F586" i="2"/>
  <c r="G628" i="2"/>
  <c r="F628" i="2"/>
  <c r="G638" i="2"/>
  <c r="F638" i="2"/>
  <c r="F583" i="2"/>
  <c r="G583" i="2"/>
  <c r="F619" i="2"/>
  <c r="G619" i="2"/>
  <c r="F661" i="2"/>
  <c r="G661" i="2"/>
  <c r="F582" i="2"/>
  <c r="G582" i="2"/>
  <c r="F584" i="2"/>
  <c r="G584" i="2"/>
  <c r="F580" i="2"/>
  <c r="G580" i="2"/>
  <c r="F601" i="2"/>
  <c r="G601" i="2"/>
  <c r="F666" i="2"/>
  <c r="G666" i="2"/>
  <c r="F655" i="2"/>
  <c r="G655" i="2"/>
  <c r="F587" i="2"/>
  <c r="G587" i="2"/>
  <c r="G622" i="2"/>
  <c r="F622" i="2"/>
  <c r="F636" i="2"/>
  <c r="G636" i="2"/>
  <c r="F630" i="2"/>
  <c r="G630" i="2"/>
  <c r="G663" i="2"/>
  <c r="F663" i="2"/>
  <c r="G624" i="2"/>
  <c r="F624" i="2"/>
  <c r="G606" i="2"/>
  <c r="F606" i="2"/>
  <c r="F604" i="2"/>
  <c r="G604" i="2"/>
  <c r="G585" i="2"/>
  <c r="F585" i="2"/>
  <c r="G637" i="2"/>
  <c r="F637" i="2"/>
  <c r="G588" i="2"/>
  <c r="F588" i="2"/>
  <c r="G629" i="2"/>
  <c r="F629" i="2"/>
  <c r="G625" i="2"/>
  <c r="F625" i="2"/>
  <c r="G626" i="2"/>
  <c r="F626" i="2"/>
  <c r="G635" i="2"/>
  <c r="F635" i="2"/>
  <c r="G662" i="2"/>
  <c r="F662" i="2"/>
  <c r="G607" i="2"/>
  <c r="F607" i="2"/>
  <c r="F623" i="2"/>
  <c r="G623" i="2"/>
  <c r="J608" i="2"/>
  <c r="G602" i="2"/>
  <c r="F602" i="2"/>
  <c r="F664" i="2"/>
  <c r="G664" i="2"/>
  <c r="F667" i="2"/>
  <c r="G667" i="2"/>
  <c r="F620" i="2"/>
  <c r="G620" i="2"/>
  <c r="F631" i="2"/>
  <c r="G631" i="2"/>
  <c r="G653" i="2"/>
  <c r="F653" i="2"/>
  <c r="F651" i="2"/>
  <c r="G651" i="2"/>
  <c r="G660" i="2"/>
  <c r="F660" i="2"/>
  <c r="F599" i="2"/>
  <c r="G599" i="2"/>
  <c r="G600" i="2"/>
  <c r="F600" i="2"/>
  <c r="G618" i="2"/>
  <c r="F618" i="2"/>
  <c r="F632" i="2"/>
  <c r="G632" i="2"/>
  <c r="F633" i="2"/>
  <c r="G633" i="2"/>
  <c r="G605" i="2"/>
  <c r="F605" i="2"/>
  <c r="G659" i="2"/>
  <c r="F659" i="2"/>
  <c r="F627" i="2"/>
  <c r="G627" i="2"/>
  <c r="F621" i="2"/>
  <c r="G621" i="2"/>
  <c r="F649" i="2"/>
  <c r="G649" i="2"/>
  <c r="G652" i="2"/>
  <c r="F652" i="2"/>
  <c r="G658" i="2"/>
  <c r="F658" i="2"/>
  <c r="F656" i="2"/>
  <c r="G656" i="2"/>
  <c r="F648" i="2"/>
  <c r="G648" i="2"/>
  <c r="G598" i="2"/>
  <c r="G608" i="2" s="1"/>
  <c r="F598" i="2"/>
  <c r="F654" i="2"/>
  <c r="G654" i="2"/>
  <c r="F603" i="2"/>
  <c r="G603" i="2"/>
  <c r="F581" i="2"/>
  <c r="G581" i="2"/>
  <c r="G589" i="2"/>
  <c r="F589" i="2"/>
  <c r="F634" i="2"/>
  <c r="G634" i="2"/>
  <c r="F650" i="2"/>
  <c r="G650" i="2"/>
  <c r="G647" i="2"/>
  <c r="F647" i="2"/>
  <c r="F657" i="2"/>
  <c r="G657" i="2"/>
  <c r="G665" i="2"/>
  <c r="F665" i="2"/>
  <c r="G639" i="2" l="1"/>
  <c r="G590" i="2"/>
  <c r="G668" i="2"/>
  <c r="E611" i="2" l="1"/>
  <c r="E593" i="2"/>
  <c r="D642" i="2"/>
  <c r="I624" i="2" l="1"/>
  <c r="I633" i="2"/>
  <c r="H618" i="2"/>
  <c r="H619" i="2"/>
  <c r="I637" i="2"/>
  <c r="I622" i="2"/>
  <c r="I629" i="2"/>
  <c r="H638" i="2"/>
  <c r="H620" i="2"/>
  <c r="H628" i="2"/>
  <c r="I625" i="2"/>
  <c r="H624" i="2"/>
  <c r="H635" i="2"/>
  <c r="H625" i="2"/>
  <c r="H623" i="2"/>
  <c r="I626" i="2"/>
  <c r="D671" i="2"/>
  <c r="H632" i="2"/>
  <c r="H621" i="2"/>
  <c r="I621" i="2"/>
  <c r="I627" i="2"/>
  <c r="H622" i="2"/>
  <c r="I636" i="2"/>
  <c r="I618" i="2"/>
  <c r="H630" i="2"/>
  <c r="I634" i="2"/>
  <c r="I620" i="2"/>
  <c r="I638" i="2"/>
  <c r="H626" i="2"/>
  <c r="I635" i="2"/>
  <c r="I630" i="2"/>
  <c r="H636" i="2"/>
  <c r="H631" i="2"/>
  <c r="I628" i="2"/>
  <c r="I623" i="2"/>
  <c r="H627" i="2"/>
  <c r="H634" i="2"/>
  <c r="H633" i="2"/>
  <c r="I632" i="2"/>
  <c r="I619" i="2"/>
  <c r="H637" i="2"/>
  <c r="I631" i="2"/>
  <c r="H629" i="2"/>
  <c r="I583" i="2"/>
  <c r="I589" i="2"/>
  <c r="I588" i="2"/>
  <c r="I580" i="2"/>
  <c r="I586" i="2"/>
  <c r="I582" i="2"/>
  <c r="I581" i="2"/>
  <c r="I587" i="2"/>
  <c r="I585" i="2"/>
  <c r="I584" i="2"/>
  <c r="H583" i="2"/>
  <c r="H588" i="2"/>
  <c r="H585" i="2"/>
  <c r="H580" i="2"/>
  <c r="H586" i="2"/>
  <c r="H584" i="2"/>
  <c r="H589" i="2"/>
  <c r="H587" i="2"/>
  <c r="H582" i="2"/>
  <c r="H581" i="2"/>
  <c r="H605" i="2"/>
  <c r="I600" i="2"/>
  <c r="H606" i="2"/>
  <c r="I606" i="2"/>
  <c r="I601" i="2"/>
  <c r="H604" i="2"/>
  <c r="I603" i="2"/>
  <c r="H601" i="2"/>
  <c r="I602" i="2"/>
  <c r="H603" i="2"/>
  <c r="I605" i="2"/>
  <c r="H607" i="2"/>
  <c r="H602" i="2"/>
  <c r="H599" i="2"/>
  <c r="I607" i="2"/>
  <c r="H598" i="2"/>
  <c r="I599" i="2"/>
  <c r="I604" i="2"/>
  <c r="H600" i="2"/>
  <c r="I598" i="2"/>
  <c r="H663" i="2" l="1"/>
  <c r="H667" i="2"/>
  <c r="H659" i="2"/>
  <c r="I665" i="2"/>
  <c r="I657" i="2"/>
  <c r="I656" i="2"/>
  <c r="H655" i="2"/>
  <c r="H662" i="2"/>
  <c r="I659" i="2"/>
  <c r="H650" i="2"/>
  <c r="H648" i="2"/>
  <c r="H658" i="2"/>
  <c r="I655" i="2"/>
  <c r="I662" i="2"/>
  <c r="I653" i="2"/>
  <c r="H656" i="2"/>
  <c r="I651" i="2"/>
  <c r="H653" i="2"/>
  <c r="H664" i="2"/>
  <c r="H665" i="2"/>
  <c r="I647" i="2"/>
  <c r="I666" i="2"/>
  <c r="I650" i="2"/>
  <c r="H651" i="2"/>
  <c r="H654" i="2"/>
  <c r="H647" i="2"/>
  <c r="I654" i="2"/>
  <c r="I667" i="2"/>
  <c r="H660" i="2"/>
  <c r="H649" i="2"/>
  <c r="I663" i="2"/>
  <c r="H666" i="2"/>
  <c r="H661" i="2"/>
  <c r="I649" i="2"/>
  <c r="I660" i="2"/>
  <c r="I661" i="2"/>
  <c r="I648" i="2"/>
  <c r="I652" i="2"/>
  <c r="H657" i="2"/>
  <c r="H652" i="2"/>
  <c r="I658" i="2"/>
  <c r="I664" i="2"/>
</calcChain>
</file>

<file path=xl/sharedStrings.xml><?xml version="1.0" encoding="utf-8"?>
<sst xmlns="http://schemas.openxmlformats.org/spreadsheetml/2006/main" count="1084" uniqueCount="447">
  <si>
    <t>PESO DE LA ESTRUCTURA PARA CALCULAR LA FUERZA HORIZONTAL "H"</t>
  </si>
  <si>
    <t xml:space="preserve">1.metrado de losa aligerada(m2) </t>
  </si>
  <si>
    <t>primer piso</t>
  </si>
  <si>
    <t>Columna1</t>
  </si>
  <si>
    <t>l1</t>
  </si>
  <si>
    <t>l2</t>
  </si>
  <si>
    <t>area</t>
  </si>
  <si>
    <t>A</t>
  </si>
  <si>
    <t>B</t>
  </si>
  <si>
    <t>C</t>
  </si>
  <si>
    <t>D</t>
  </si>
  <si>
    <t>E</t>
  </si>
  <si>
    <t>F</t>
  </si>
  <si>
    <t>G</t>
  </si>
  <si>
    <t>H</t>
  </si>
  <si>
    <t>Total</t>
  </si>
  <si>
    <t>segundo piso</t>
  </si>
  <si>
    <t>I</t>
  </si>
  <si>
    <t>J</t>
  </si>
  <si>
    <t>K</t>
  </si>
  <si>
    <t>L</t>
  </si>
  <si>
    <t>M</t>
  </si>
  <si>
    <t>N</t>
  </si>
  <si>
    <t>O</t>
  </si>
  <si>
    <t>P</t>
  </si>
  <si>
    <t>Peso de la losa(de espesor 0.2m):</t>
  </si>
  <si>
    <t>kg/m2</t>
  </si>
  <si>
    <t>Primer piso</t>
  </si>
  <si>
    <t>kg</t>
  </si>
  <si>
    <t>Segundo piso</t>
  </si>
  <si>
    <t>Nota:</t>
  </si>
  <si>
    <t>En el aligerado H hemos medrado toda la losa aligerada para compensar el peso de la escalera</t>
  </si>
  <si>
    <t>2. acabado y ladrillos pastelero</t>
  </si>
  <si>
    <t>primer piso metramos  el piso y en el segundo el ladrillo pastelero</t>
  </si>
  <si>
    <t xml:space="preserve">trabajamos con </t>
  </si>
  <si>
    <t>area de ladrillo pastelero</t>
  </si>
  <si>
    <t>m2</t>
  </si>
  <si>
    <t>area de pisos= area techada -area de muros 2°pisos</t>
  </si>
  <si>
    <t>area techada=</t>
  </si>
  <si>
    <t>area de muros 2° piso=</t>
  </si>
  <si>
    <t>area de pisos=</t>
  </si>
  <si>
    <t>3.Vigas soleras y dindeles</t>
  </si>
  <si>
    <t>Column1</t>
  </si>
  <si>
    <t>Column2</t>
  </si>
  <si>
    <t>Column3</t>
  </si>
  <si>
    <t>Column4</t>
  </si>
  <si>
    <t>Column5</t>
  </si>
  <si>
    <t>eje1-1 entre A-A,D-D</t>
  </si>
  <si>
    <t>eje2.2 entre B-B,D-D</t>
  </si>
  <si>
    <t>Dindel</t>
  </si>
  <si>
    <t>Eje 3-3 entre ejes A-A,D-D</t>
  </si>
  <si>
    <t>peso vigas soleras 2400.00kg/m3</t>
  </si>
  <si>
    <t xml:space="preserve">segundo piso </t>
  </si>
  <si>
    <t>4.Vigas de Amarre</t>
  </si>
  <si>
    <t>Eje A-A entre ejes 1-1,3-3</t>
  </si>
  <si>
    <t>Eje B-B entre ejes 1-1,2-2</t>
  </si>
  <si>
    <t>Eje B-B entre ejes 2-2,3-3</t>
  </si>
  <si>
    <t>Eje C-C entre ejes 1-1,2-2</t>
  </si>
  <si>
    <t>Eje C-C entre ejes 2-2,3-3</t>
  </si>
  <si>
    <t>Eje D-D entre ejes 1-1,2-2</t>
  </si>
  <si>
    <t xml:space="preserve">las vigas de amarre del segundo piso son iguales al primero </t>
  </si>
  <si>
    <t>5.Vigas chatas</t>
  </si>
  <si>
    <t>Eje 2-2 entre ejes A-A,B-B</t>
  </si>
  <si>
    <t>Eje B-B, eje C-C,eje 1-1,eje 2-2</t>
  </si>
  <si>
    <t>Eje 2-2 entre ejes A-A, D-D</t>
  </si>
  <si>
    <t>6. Columnas</t>
  </si>
  <si>
    <t>hay 12 columnas de 2.5m de alto</t>
  </si>
  <si>
    <t>Column6</t>
  </si>
  <si>
    <t>Column7</t>
  </si>
  <si>
    <t>7. Sobrecargas</t>
  </si>
  <si>
    <t>8. Vigas</t>
  </si>
  <si>
    <t>9. Muros y alfeizar</t>
  </si>
  <si>
    <t>muros paralelos a la fachada</t>
  </si>
  <si>
    <t>muros perpendiculares a la fachada</t>
  </si>
  <si>
    <t>dirección X</t>
  </si>
  <si>
    <t>dirección Y</t>
  </si>
  <si>
    <t xml:space="preserve">especificación </t>
  </si>
  <si>
    <t>e=0.15m</t>
  </si>
  <si>
    <t>e=0.25m</t>
  </si>
  <si>
    <t>especificación</t>
  </si>
  <si>
    <t>Column8</t>
  </si>
  <si>
    <t>Eje B-B</t>
  </si>
  <si>
    <t>muro 2</t>
  </si>
  <si>
    <t>Eje 1-1</t>
  </si>
  <si>
    <t>muro 1</t>
  </si>
  <si>
    <t>muro 3</t>
  </si>
  <si>
    <t>Eje 2-2</t>
  </si>
  <si>
    <t>muro 9</t>
  </si>
  <si>
    <t>muro 4</t>
  </si>
  <si>
    <t>muro 10</t>
  </si>
  <si>
    <t>Eje D-D</t>
  </si>
  <si>
    <t>muro 7</t>
  </si>
  <si>
    <t>muro 5</t>
  </si>
  <si>
    <t>Muro  6</t>
  </si>
  <si>
    <t>muro 8</t>
  </si>
  <si>
    <t>Eje A-A</t>
  </si>
  <si>
    <t>Muro 1</t>
  </si>
  <si>
    <t>muro 15</t>
  </si>
  <si>
    <t>muro 18</t>
  </si>
  <si>
    <t>muro 21</t>
  </si>
  <si>
    <t>muro 11</t>
  </si>
  <si>
    <t>muro 14</t>
  </si>
  <si>
    <t>muro 19</t>
  </si>
  <si>
    <t>muro 16</t>
  </si>
  <si>
    <t>muro 12</t>
  </si>
  <si>
    <t>Eje C-C</t>
  </si>
  <si>
    <t>muros 20</t>
  </si>
  <si>
    <t>muro 13</t>
  </si>
  <si>
    <t>muro 17</t>
  </si>
  <si>
    <t>muro 6</t>
  </si>
  <si>
    <t>Longitud de muros</t>
  </si>
  <si>
    <t>L=</t>
  </si>
  <si>
    <t>m</t>
  </si>
  <si>
    <t>Peso de muro</t>
  </si>
  <si>
    <t>=(</t>
  </si>
  <si>
    <t>+</t>
  </si>
  <si>
    <t>)x</t>
  </si>
  <si>
    <t>peso de alfeizar</t>
  </si>
  <si>
    <t>Peso total</t>
  </si>
  <si>
    <t>primer piso(kg)</t>
  </si>
  <si>
    <t>segundo piso(kg)</t>
  </si>
  <si>
    <t>Total(kg)</t>
  </si>
  <si>
    <t>1.Losa aligerada</t>
  </si>
  <si>
    <t>Calculo de la fuerza por sismo</t>
  </si>
  <si>
    <t>Z=</t>
  </si>
  <si>
    <t>por ser zona sismica 3</t>
  </si>
  <si>
    <t>U=</t>
  </si>
  <si>
    <t>por ser casa-habitacion según reglamento es categoria C</t>
  </si>
  <si>
    <t>S=</t>
  </si>
  <si>
    <t>por ser suelo intemedio</t>
  </si>
  <si>
    <r>
      <rPr>
        <sz val="11"/>
        <color rgb="FF000000"/>
        <rFont val="Aptos Narrow"/>
        <scheme val="minor"/>
      </rPr>
      <t>R</t>
    </r>
    <r>
      <rPr>
        <sz val="10"/>
        <color rgb="FF000000"/>
        <rFont val="Aptos Narrow"/>
        <scheme val="minor"/>
      </rPr>
      <t>d</t>
    </r>
    <r>
      <rPr>
        <sz val="11"/>
        <color rgb="FF000000"/>
        <rFont val="Aptos Narrow"/>
        <scheme val="minor"/>
      </rPr>
      <t>=</t>
    </r>
  </si>
  <si>
    <t>por ser construccion de albañileria confinada</t>
  </si>
  <si>
    <t>CÁLCULO DEL PERIODO DE VIBRACIÓN FUNDAMENTAL DE LA ESTRUCTURA</t>
  </si>
  <si>
    <t>H=</t>
  </si>
  <si>
    <t>Dx=</t>
  </si>
  <si>
    <t>Dy=</t>
  </si>
  <si>
    <t>Dy se considera el largo, sin considerar la zona de voladizo</t>
  </si>
  <si>
    <t>Para el cálculo utilizaremos la NORMA E.030-RNE</t>
  </si>
  <si>
    <t>El valor de "C" se define como el factor de amplificación sismica de la respuesta estructural  respecto</t>
  </si>
  <si>
    <t>de la aceleración y se obtiene calculando:</t>
  </si>
  <si>
    <t>Donde:</t>
  </si>
  <si>
    <t>Tp:</t>
  </si>
  <si>
    <t>considerando para un suelo tipo S2 intermedio( segun tabla N°2 Norma E.030)</t>
  </si>
  <si>
    <t xml:space="preserve">T es el periodo fundamental de vibración  para cada dirección ( según artículo 17.2-Norma E0.30) </t>
  </si>
  <si>
    <t>y para su cálculo se empleará la fórmula:</t>
  </si>
  <si>
    <t>hn:altura de la edificacion respecto al nivel de terreno en metros</t>
  </si>
  <si>
    <t>CT:</t>
  </si>
  <si>
    <t>Tx</t>
  </si>
  <si>
    <t>Ty</t>
  </si>
  <si>
    <t xml:space="preserve">Pero como </t>
  </si>
  <si>
    <t>Cálcuo de H (fuerza cortante en la base)</t>
  </si>
  <si>
    <t>FUERZA LATERAL EN CADA PISO</t>
  </si>
  <si>
    <t>NIVEL</t>
  </si>
  <si>
    <t>Pi</t>
  </si>
  <si>
    <t>Hi</t>
  </si>
  <si>
    <t>PiHi</t>
  </si>
  <si>
    <t>Fi</t>
  </si>
  <si>
    <t>Fa=0.07TH&lt;=0.15H</t>
  </si>
  <si>
    <t>Fa=</t>
  </si>
  <si>
    <t>RIGIDECES-PRIMER PISO</t>
  </si>
  <si>
    <t>Dirección X</t>
  </si>
  <si>
    <t>Muro</t>
  </si>
  <si>
    <t>e(m)</t>
  </si>
  <si>
    <t>h(m)</t>
  </si>
  <si>
    <t>l(m)</t>
  </si>
  <si>
    <t>3(h/l)</t>
  </si>
  <si>
    <r>
      <t>4(h/l)</t>
    </r>
    <r>
      <rPr>
        <vertAlign val="superscript"/>
        <sz val="11"/>
        <color theme="1"/>
        <rFont val="Aptos Narrow"/>
        <scheme val="minor"/>
      </rPr>
      <t>3</t>
    </r>
  </si>
  <si>
    <r>
      <t>3(h/l)+4(h/l)</t>
    </r>
    <r>
      <rPr>
        <vertAlign val="superscript"/>
        <sz val="11"/>
        <color theme="1"/>
        <rFont val="Aptos Narrow"/>
        <scheme val="minor"/>
      </rPr>
      <t>3</t>
    </r>
  </si>
  <si>
    <t>Kx/E</t>
  </si>
  <si>
    <t>1-1</t>
  </si>
  <si>
    <t>2-2</t>
  </si>
  <si>
    <t>3-3</t>
  </si>
  <si>
    <t>4-4</t>
  </si>
  <si>
    <t>5-5</t>
  </si>
  <si>
    <t>6-6</t>
  </si>
  <si>
    <t>7-7</t>
  </si>
  <si>
    <t>8-8</t>
  </si>
  <si>
    <t>9-9</t>
  </si>
  <si>
    <t>10-10</t>
  </si>
  <si>
    <t>Dirección Y</t>
  </si>
  <si>
    <t>Ky/E</t>
  </si>
  <si>
    <t>Y(m)</t>
  </si>
  <si>
    <t>X(m)</t>
  </si>
  <si>
    <t>(Kx/E)y</t>
  </si>
  <si>
    <t>(Ky/E)x</t>
  </si>
  <si>
    <r>
      <t>X</t>
    </r>
    <r>
      <rPr>
        <vertAlign val="subscript"/>
        <sz val="11"/>
        <color theme="1"/>
        <rFont val="Aptos Narrow"/>
        <scheme val="minor"/>
      </rPr>
      <t>CR</t>
    </r>
    <r>
      <rPr>
        <sz val="11"/>
        <color theme="1"/>
        <rFont val="Aptos Narrow"/>
        <family val="2"/>
        <scheme val="minor"/>
      </rPr>
      <t>=</t>
    </r>
  </si>
  <si>
    <r>
      <t>Y</t>
    </r>
    <r>
      <rPr>
        <vertAlign val="subscript"/>
        <sz val="11"/>
        <color theme="1"/>
        <rFont val="Aptos Narrow"/>
        <scheme val="minor"/>
      </rPr>
      <t>CR</t>
    </r>
    <r>
      <rPr>
        <sz val="11"/>
        <color theme="1"/>
        <rFont val="Aptos Narrow"/>
        <family val="2"/>
        <scheme val="minor"/>
      </rPr>
      <t>=</t>
    </r>
  </si>
  <si>
    <t>CENTRO DE MASAS-PRIMER PISO</t>
  </si>
  <si>
    <t>Especificaciones</t>
  </si>
  <si>
    <t>Peso(tn)</t>
  </si>
  <si>
    <t>PY</t>
  </si>
  <si>
    <t>PX</t>
  </si>
  <si>
    <t>9x0.25x2.5x1.8</t>
  </si>
  <si>
    <t>2.5x0.15x2.5x1.8</t>
  </si>
  <si>
    <t>1.75x0.15x2.5x1.8</t>
  </si>
  <si>
    <t>0.6x0.15x2.5x1.8</t>
  </si>
  <si>
    <t>0.95x0.15x2.5x1.8</t>
  </si>
  <si>
    <t>0.9x0.15x2.2x1.8</t>
  </si>
  <si>
    <t>2.15x0.15x2.5x1.8</t>
  </si>
  <si>
    <t>2.35x0.25x2.5x1.8</t>
  </si>
  <si>
    <t>1.95x0.25x2.5x1.8</t>
  </si>
  <si>
    <r>
      <t>X</t>
    </r>
    <r>
      <rPr>
        <vertAlign val="subscript"/>
        <sz val="11"/>
        <color theme="1"/>
        <rFont val="Aptos Narrow"/>
        <scheme val="minor"/>
      </rPr>
      <t>CM</t>
    </r>
    <r>
      <rPr>
        <sz val="11"/>
        <color theme="1"/>
        <rFont val="Aptos Narrow"/>
        <family val="2"/>
        <scheme val="minor"/>
      </rPr>
      <t>=</t>
    </r>
  </si>
  <si>
    <r>
      <t>Y</t>
    </r>
    <r>
      <rPr>
        <vertAlign val="subscript"/>
        <sz val="11"/>
        <color theme="1"/>
        <rFont val="Aptos Narrow"/>
        <scheme val="minor"/>
      </rPr>
      <t>CM</t>
    </r>
    <r>
      <rPr>
        <sz val="11"/>
        <color theme="1"/>
        <rFont val="Aptos Narrow"/>
        <family val="2"/>
        <scheme val="minor"/>
      </rPr>
      <t>=</t>
    </r>
  </si>
  <si>
    <t>RIGIDECES-SEGUNDO PISO</t>
  </si>
  <si>
    <t>11-11</t>
  </si>
  <si>
    <t>12-12</t>
  </si>
  <si>
    <t>13-13</t>
  </si>
  <si>
    <t>14-14</t>
  </si>
  <si>
    <t>15-15</t>
  </si>
  <si>
    <t>16-16</t>
  </si>
  <si>
    <t>17-17</t>
  </si>
  <si>
    <t>18-18</t>
  </si>
  <si>
    <t>19-19</t>
  </si>
  <si>
    <t>20-20</t>
  </si>
  <si>
    <t>21-21</t>
  </si>
  <si>
    <r>
      <rPr>
        <sz val="11"/>
        <color rgb="FF000000"/>
        <rFont val="Aptos Narrow"/>
        <scheme val="minor"/>
      </rPr>
      <t>X</t>
    </r>
    <r>
      <rPr>
        <vertAlign val="subscript"/>
        <sz val="11"/>
        <color rgb="FF000000"/>
        <rFont val="Aptos Narrow"/>
        <scheme val="minor"/>
      </rPr>
      <t>CR</t>
    </r>
    <r>
      <rPr>
        <sz val="11"/>
        <color rgb="FF000000"/>
        <rFont val="Aptos Narrow"/>
        <scheme val="minor"/>
      </rPr>
      <t>=</t>
    </r>
  </si>
  <si>
    <t>CENTRO DE MASAS-SEGUNDO PISO</t>
  </si>
  <si>
    <t>10x0.25x2.5x1.8</t>
  </si>
  <si>
    <t>0.9x0.15x2.5x1.8</t>
  </si>
  <si>
    <t>1.1x0.15x2.5x1.8</t>
  </si>
  <si>
    <t>1.25x0.15x2.5x1.8</t>
  </si>
  <si>
    <t>2.075X0.25X2.5X1.8</t>
  </si>
  <si>
    <t>2.35X0.15X2.5X1.8</t>
  </si>
  <si>
    <t>1.925X0.15X2.5X1.8</t>
  </si>
  <si>
    <t>1.1X0.15X2.5X1.8</t>
  </si>
  <si>
    <t>0.45X0.15X2.5X1.8</t>
  </si>
  <si>
    <t>0.85X0.15X2.5X1.8</t>
  </si>
  <si>
    <r>
      <rPr>
        <sz val="11"/>
        <color rgb="FF000000"/>
        <rFont val="Aptos Narrow"/>
        <scheme val="minor"/>
      </rPr>
      <t>X</t>
    </r>
    <r>
      <rPr>
        <vertAlign val="subscript"/>
        <sz val="11"/>
        <color rgb="FF000000"/>
        <rFont val="Aptos Narrow"/>
        <scheme val="minor"/>
      </rPr>
      <t>CM</t>
    </r>
    <r>
      <rPr>
        <sz val="11"/>
        <color rgb="FF000000"/>
        <rFont val="Aptos Narrow"/>
        <scheme val="minor"/>
      </rPr>
      <t>=</t>
    </r>
  </si>
  <si>
    <t>CORRECCIÓN POR TORSIÓN, CALCULO DEL MOMENTO POLAR DE INERCIA Y CÁLCULO DE LOS CORTANTES FINALES</t>
  </si>
  <si>
    <t>EXCENTRICIDAD:</t>
  </si>
  <si>
    <r>
      <t>e</t>
    </r>
    <r>
      <rPr>
        <vertAlign val="subscript"/>
        <sz val="11"/>
        <color theme="1"/>
        <rFont val="Aptos Narrow"/>
        <scheme val="minor"/>
      </rPr>
      <t>x</t>
    </r>
    <r>
      <rPr>
        <sz val="11"/>
        <color theme="1"/>
        <rFont val="Aptos Narrow"/>
        <scheme val="minor"/>
      </rPr>
      <t>=</t>
    </r>
  </si>
  <si>
    <r>
      <t>e</t>
    </r>
    <r>
      <rPr>
        <vertAlign val="subscript"/>
        <sz val="11"/>
        <color theme="1"/>
        <rFont val="Aptos Narrow"/>
        <scheme val="minor"/>
      </rPr>
      <t>y</t>
    </r>
    <r>
      <rPr>
        <sz val="11"/>
        <color theme="1"/>
        <rFont val="Aptos Narrow"/>
        <scheme val="minor"/>
      </rPr>
      <t>=</t>
    </r>
  </si>
  <si>
    <t>Se evalúa el Momento Torsor en cada nivel y para cada dirección del sismo</t>
  </si>
  <si>
    <r>
      <t>Luego hallamos los incrementos de fuerza horizontal debido al Momento Torsor M</t>
    </r>
    <r>
      <rPr>
        <vertAlign val="subscript"/>
        <sz val="11"/>
        <color theme="1"/>
        <rFont val="Aptos Narrow"/>
        <scheme val="minor"/>
      </rPr>
      <t>t</t>
    </r>
  </si>
  <si>
    <t>Finalmente se evalúa la fuerza cortante total en cada muro</t>
  </si>
  <si>
    <t>CÁLCULO DE MOMENTO TORSORES</t>
  </si>
  <si>
    <t>PRIMER PISO</t>
  </si>
  <si>
    <t>e'y=ey=</t>
  </si>
  <si>
    <t>e''y=0.05B=</t>
  </si>
  <si>
    <t>e'x=ex=</t>
  </si>
  <si>
    <t>e''x=0.05B=</t>
  </si>
  <si>
    <t>M'tx1=F1e'y=</t>
  </si>
  <si>
    <t>kgs</t>
  </si>
  <si>
    <t>M''tx2=F1e''y=</t>
  </si>
  <si>
    <t>M'ty1=F1e'x=</t>
  </si>
  <si>
    <t>M'ty2=F1e''x=</t>
  </si>
  <si>
    <t>SEGUNDO PISO</t>
  </si>
  <si>
    <t>CORRECCIÓN POR TORSIÓN- PRIMER PISO</t>
  </si>
  <si>
    <t>Direccion  X</t>
  </si>
  <si>
    <t>(Kx/E)(F1)/(∑Kx/E)</t>
  </si>
  <si>
    <t>y(m)</t>
  </si>
  <si>
    <t>y ̅=y-yCR</t>
  </si>
  <si>
    <t>(Kx/E)Ypro</t>
  </si>
  <si>
    <t>(K/E)*Ypro2</t>
  </si>
  <si>
    <t>(Kx/EJ)YproM'tx1</t>
  </si>
  <si>
    <t>(Kx/EJ)YproM''tx2</t>
  </si>
  <si>
    <t>V(final)</t>
  </si>
  <si>
    <t>F1</t>
  </si>
  <si>
    <t>M't1x</t>
  </si>
  <si>
    <t>M't2x</t>
  </si>
  <si>
    <t>Direccion  Y</t>
  </si>
  <si>
    <t>(Ky/E)(F1)/(∑Ky/E)</t>
  </si>
  <si>
    <t>x(m)</t>
  </si>
  <si>
    <t>X ̅=X-XCR</t>
  </si>
  <si>
    <t>(Ky/E)X ̅</t>
  </si>
  <si>
    <t>(Ky/E)*X ̅ 2</t>
  </si>
  <si>
    <t>(Ky/EJ)X ̅ M'ty1</t>
  </si>
  <si>
    <t>(Ky/EJ)X ̅ M''ty2</t>
  </si>
  <si>
    <t>M't1y</t>
  </si>
  <si>
    <t>M't2y</t>
  </si>
  <si>
    <t>CORRECCIÓN POR TORSIÓN- SEGUNDO  PISO</t>
  </si>
  <si>
    <t>PESO ACUMULADO QUE RECIBEN LOS MUROS (CARGA MUERTA)</t>
  </si>
  <si>
    <t>MURO 1-1</t>
  </si>
  <si>
    <t>Peso de viga solera(2400.00x9.00x0.25x0.2)=</t>
  </si>
  <si>
    <t>Peso de losa</t>
  </si>
  <si>
    <t>G  2.00x2.55x400      =</t>
  </si>
  <si>
    <t>A  3.55x3.875/2x400  =</t>
  </si>
  <si>
    <t>H  (2.00x1.90)x400    =</t>
  </si>
  <si>
    <t>Es igual al primero 5791.25+1080.00    =</t>
  </si>
  <si>
    <t>Acumulado  2x6871.25                           =</t>
  </si>
  <si>
    <t>La zona de escalera se ha considerado como losa para compensar el peso de escalera</t>
  </si>
  <si>
    <t>MURO 5-5</t>
  </si>
  <si>
    <t>B  3.55x3.125/2x400  =</t>
  </si>
  <si>
    <t>C  1.9x3.25/2x400      =</t>
  </si>
  <si>
    <t>D  3.25/2x2.55x400    =</t>
  </si>
  <si>
    <t>Viga solera          2400.00x9x0.25x0.2</t>
  </si>
  <si>
    <t>Peso total            5111.25+1080.00</t>
  </si>
  <si>
    <t>Segundo piso igual al primero</t>
  </si>
  <si>
    <t>Peso acumulado</t>
  </si>
  <si>
    <t>6191.25x2</t>
  </si>
  <si>
    <t>MURO 9-9</t>
  </si>
  <si>
    <t>Viga solera  2x(2400.00x2.35x0.25x0.2)</t>
  </si>
  <si>
    <t>Losa            2x(400x(2.00+1.625)x1.90))</t>
  </si>
  <si>
    <t>MURO 10-10</t>
  </si>
  <si>
    <t>Viga solera   2x(2400.00x1.95x0.25x0.2)</t>
  </si>
  <si>
    <t>Losa           2x(400x(2.00+1.625)x2.55))</t>
  </si>
  <si>
    <t>CÁLCULO DE ESFUERZOS DE COMPERESIÓN POR CARGA MUERTA</t>
  </si>
  <si>
    <t>Área(cm2)</t>
  </si>
  <si>
    <t>Peso acumulado de losa (P1)(kg)</t>
  </si>
  <si>
    <t>Área acumulada de losa (P2)(kg)</t>
  </si>
  <si>
    <t>fd=p1+p2/area(kg/cm2)</t>
  </si>
  <si>
    <t>-</t>
  </si>
  <si>
    <t>A corte, Av cm2</t>
  </si>
  <si>
    <t>V(kg)</t>
  </si>
  <si>
    <t>f'v (Kg/cm2)</t>
  </si>
  <si>
    <t>fd</t>
  </si>
  <si>
    <t>f'v</t>
  </si>
  <si>
    <t>fv</t>
  </si>
  <si>
    <t>Obs</t>
  </si>
  <si>
    <t>ELEMENTO 1-1 (Dirección Y)</t>
  </si>
  <si>
    <t>Como se puede ver del plano de losa aligerada, el muro 1-1 tuebe varios paños confinados</t>
  </si>
  <si>
    <t>De las tablas de Coreeción por torsión tenemos los siguientes  resultados:</t>
  </si>
  <si>
    <t>Corrección en Dirección X</t>
  </si>
  <si>
    <t>Kg</t>
  </si>
  <si>
    <t>Corrección en Dirección Y</t>
  </si>
  <si>
    <t>Trabajamos con el mas desfavorable que es la dirección Y, y tiene como valor 8782.48Kg</t>
  </si>
  <si>
    <t>Vtotal</t>
  </si>
  <si>
    <t>Paño 1</t>
  </si>
  <si>
    <t>Paño 2</t>
  </si>
  <si>
    <t>Paño 3</t>
  </si>
  <si>
    <t xml:space="preserve">MURO </t>
  </si>
  <si>
    <t>V1=</t>
  </si>
  <si>
    <t>V2</t>
  </si>
  <si>
    <t>V3</t>
  </si>
  <si>
    <t>AREA MÍNIMA DE CONCRETO PARA SECCIONES DE VIGAS Y COLUMNAS</t>
  </si>
  <si>
    <t>VIGAS</t>
  </si>
  <si>
    <t>(área de concreto mínima)</t>
  </si>
  <si>
    <t>Del plano de estructuras se tomarán vigas de 0.25x0.2m</t>
  </si>
  <si>
    <t>Para vigas hallamos la fuerza de tracción que soportará la solera:</t>
  </si>
  <si>
    <t>Ahora calcularemos el área del acero longitudinal de la solera:</t>
  </si>
  <si>
    <t>Del plano de estructuras la viga es de 0.25x0.2</t>
  </si>
  <si>
    <t>Según el RNE el acero mínimo es de 4𝜙8mm, en nuestro caso utilizaremos 4𝜙3/8'' por ser varrilla comercial.</t>
  </si>
  <si>
    <t>Estribos de viga</t>
  </si>
  <si>
    <t>Según RNE en las soleras se colocará estribos mínimos: []6mm,1@5,4@10,r@25cm. Al no ser comercial el acero de 6mm,</t>
  </si>
  <si>
    <t>utilzaremos acero 𝜙=1/4''</t>
  </si>
  <si>
    <t>La viga solera del muro A-A será:</t>
  </si>
  <si>
    <t xml:space="preserve">Acero longitudinal </t>
  </si>
  <si>
    <t>4𝜙3/8''</t>
  </si>
  <si>
    <t>Estribos 𝜙1/4''</t>
  </si>
  <si>
    <t>1@ 0.05m,4 @ 0.1m</t>
  </si>
  <si>
    <t>Resto @0.25m</t>
  </si>
  <si>
    <t>COLUMNAS</t>
  </si>
  <si>
    <t>Columnas que están en el eje 1-1</t>
  </si>
  <si>
    <t>Sección de concreto de la columna:</t>
  </si>
  <si>
    <t>Diseño de corte-fricción:</t>
  </si>
  <si>
    <t>mínimo</t>
  </si>
  <si>
    <t xml:space="preserve">Como en el plano de arquitectura la columnas son de .25cmx.25cm=625cm2, que es un valor mayor a las </t>
  </si>
  <si>
    <t>áreas halladas tomaremos este valor.</t>
  </si>
  <si>
    <t>Determinación del refuerzo vertical:</t>
  </si>
  <si>
    <t>Tomamos hacer mínimo</t>
  </si>
  <si>
    <t>mínimos 4𝜙8mm</t>
  </si>
  <si>
    <t>Pero trabajaremos con 4𝜙3/8'', entonces el As=2.85cm2</t>
  </si>
  <si>
    <t>Estribos</t>
  </si>
  <si>
    <t>D=21cm</t>
  </si>
  <si>
    <t>𝜙=1/4''</t>
  </si>
  <si>
    <t>De acuerdo al RNE el confinamiento mínimo con estribos será [ ] 6mm, 1@ 5,</t>
  </si>
  <si>
    <t>4@ 10, r @ 25cm. Adicionalmente se agregará 2 estribos en la unión soleracolumna</t>
  </si>
  <si>
    <t>y estribos @ 10cm en el sobre cimiento.</t>
  </si>
  <si>
    <t>Trabajaremos con sección de 25x25cm.Para columnas</t>
  </si>
  <si>
    <t>DISEÑO DE LOSA ALIGERADA</t>
  </si>
  <si>
    <t>Zona comprendida entre ejes C-C, D-D,1-1,3-3</t>
  </si>
  <si>
    <t>Espesor 0.2m</t>
  </si>
  <si>
    <t>metrados de Cargas</t>
  </si>
  <si>
    <t>Carga viva:</t>
  </si>
  <si>
    <t>sobrecarga 200kg/m2</t>
  </si>
  <si>
    <t>Carga muerta:</t>
  </si>
  <si>
    <t>peso propio por vigueta(concreto +ladrillo)</t>
  </si>
  <si>
    <t>Losa: =0.05x0.04x1.00x2400</t>
  </si>
  <si>
    <t>Vigueta:  =0.10x0.15x1.00x2400</t>
  </si>
  <si>
    <t>Ladrillo:</t>
  </si>
  <si>
    <t>Peso por m2</t>
  </si>
  <si>
    <t>Peso por m2 de cielo raso</t>
  </si>
  <si>
    <t>Tabiqueria por m2</t>
  </si>
  <si>
    <t>Peso de carga muerta total:</t>
  </si>
  <si>
    <t>W=carga viva+carga muerta:</t>
  </si>
  <si>
    <t>Wu=1.5CM+1.8CV</t>
  </si>
  <si>
    <t>Wuxvigueta</t>
  </si>
  <si>
    <t>ANÁLISIS ESTRUCTURAL</t>
  </si>
  <si>
    <t>Luces de cálculo</t>
  </si>
  <si>
    <t>Se compara la luz libre(LL)+espesor de losa(H) con la luz entre ejes(Le)</t>
  </si>
  <si>
    <t>Se trabaja con la menor.</t>
  </si>
  <si>
    <t>Tramo1-2:</t>
  </si>
  <si>
    <t>Ll+H</t>
  </si>
  <si>
    <t>Le</t>
  </si>
  <si>
    <t>Tramo 2-3</t>
  </si>
  <si>
    <t>Coeficientes</t>
  </si>
  <si>
    <t>MAB</t>
  </si>
  <si>
    <t>MBA</t>
  </si>
  <si>
    <t>MBC</t>
  </si>
  <si>
    <t>MCB</t>
  </si>
  <si>
    <t>REACCIONES ISOSTÁTICAS</t>
  </si>
  <si>
    <t>REACCIONES FINALES</t>
  </si>
  <si>
    <t>MOMENTOS POSITIVOS MÁXIMOS</t>
  </si>
  <si>
    <t>TRAMO A-B</t>
  </si>
  <si>
    <t>TRAMO B-C</t>
  </si>
  <si>
    <t>CÁLCULO DE LA CANTIDAD DE ACERO EN LOSA ALIGERADA</t>
  </si>
  <si>
    <t>Dejamos como ejercicio los momentos restantes</t>
  </si>
  <si>
    <t>CHEQUEO DEL ALIGERADO POR FUERZA CORTANTE</t>
  </si>
  <si>
    <t>Vu</t>
  </si>
  <si>
    <t>Vud</t>
  </si>
  <si>
    <t>En otro apoyos</t>
  </si>
  <si>
    <t>Acero de temperatura</t>
  </si>
  <si>
    <t>Ast</t>
  </si>
  <si>
    <t>S</t>
  </si>
  <si>
    <t>DETALLE DE FIERRO</t>
  </si>
  <si>
    <t>Si una vivienda económica tiend dos pisos por lo general el segundo piso tiene un voladizo</t>
  </si>
  <si>
    <t xml:space="preserve">Para estructurar los voladizos se colocarán vigas peraltadas que tendrán que ser diseñadas de acuerdo a la </t>
  </si>
  <si>
    <t>teroría de análisis Estructural y de Concreto Armado.</t>
  </si>
  <si>
    <t>Las vigas en voladizo se calculas como vigas en cantilever:</t>
  </si>
  <si>
    <t>M=-PX2/2</t>
  </si>
  <si>
    <t>El momento máximo surge en X=l</t>
  </si>
  <si>
    <t>siendo Mmax=-Pl2/2</t>
  </si>
  <si>
    <t>La viga en voladizo genera una deflexión:</t>
  </si>
  <si>
    <t>tB/A</t>
  </si>
  <si>
    <t xml:space="preserve">Analizando la expresión Pl4/8EI vemos que la flecha es una función de la carga, la luz, el modulo de elasticidad y  </t>
  </si>
  <si>
    <t xml:space="preserve">momento de inercia y podemos concluir que la flecha es directamente proporcional a la carga aplicada y a la </t>
  </si>
  <si>
    <t>luz del voladizo, es decir la flecha aumenta conforme se incrementan estas dos variables. El módulo de elasticidad</t>
  </si>
  <si>
    <t>y momento de inercia son inversamente proporcionales a la flecha, es decir disminuyr conforme aumenta el</t>
  </si>
  <si>
    <t>momento de inercia y el módulo de elasticidad</t>
  </si>
  <si>
    <t>De lo expuesto podemos concluir que la flecha será menor si el peralte de la viga es mayor, por tal razón las vigas</t>
  </si>
  <si>
    <t>en voladizo tienen gran peralte para compensar la flecha</t>
  </si>
  <si>
    <t>Para nuestro caso trabajaremos con vigas de 0.25x0.5m2</t>
  </si>
  <si>
    <t>DISEÑO DE VIGAS</t>
  </si>
  <si>
    <t>DISEÑO DE VIGAS PERALTADAS</t>
  </si>
  <si>
    <t>Metrado de cargas</t>
  </si>
  <si>
    <t>Peso de losa aligerada</t>
  </si>
  <si>
    <t>Peso propio de viga</t>
  </si>
  <si>
    <t>Peso de tabiqueria</t>
  </si>
  <si>
    <t>Sobrecarga</t>
  </si>
  <si>
    <t>Wl</t>
  </si>
  <si>
    <t>Wu</t>
  </si>
  <si>
    <t>Diseño de la viga</t>
  </si>
  <si>
    <t>DISEÑO DE VIGA CHATA-PRIMER PISO</t>
  </si>
  <si>
    <t>DISEÑO ESTRUCTURAL DE UNA ESCALERA DE DOS TRAMOS</t>
  </si>
  <si>
    <t xml:space="preserve">CIMIENTOS QUE SOPORTA LOS MUROS PORTANTE S PERIMÉTRICOS </t>
  </si>
  <si>
    <t>bw</t>
  </si>
  <si>
    <t>tw</t>
  </si>
  <si>
    <t>hf</t>
  </si>
  <si>
    <t>tf</t>
  </si>
  <si>
    <t>x</t>
  </si>
  <si>
    <t>y</t>
  </si>
  <si>
    <t>x'</t>
  </si>
  <si>
    <t>y'</t>
  </si>
  <si>
    <t>etiqueta</t>
  </si>
  <si>
    <t>rigidez de muro</t>
  </si>
  <si>
    <t>piso 1</t>
  </si>
  <si>
    <t>piso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</si>
</sst>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.000_-;\-* #,##0.000_-;_-* &quot;-&quot;??_-;_-@_-"/>
    <numFmt numFmtId="166" formatCode="#,##0.00&quot;m2&quot;"/>
    <numFmt numFmtId="167" formatCode="#,##0.00&quot;m3&quot;"/>
    <numFmt numFmtId="168" formatCode="#,##0.00&quot;kg&quot;"/>
    <numFmt numFmtId="169" formatCode="0.0000"/>
    <numFmt numFmtId="170" formatCode="0.000"/>
    <numFmt numFmtId="171" formatCode="&quot;V=&quot;#,##0.00&quot; kg&quot;"/>
    <numFmt numFmtId="172" formatCode="#,##0.00&quot; cm2&quot;"/>
    <numFmt numFmtId="173" formatCode="#,##0.00&quot;m&quot;"/>
    <numFmt numFmtId="174" formatCode="#,##0.00&quot; kg-m&quot;"/>
  </numFmts>
  <fonts count="2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scheme val="minor"/>
    </font>
    <font>
      <sz val="10"/>
      <color rgb="FF000000"/>
      <name val="Aptos Narrow"/>
      <scheme val="minor"/>
    </font>
    <font>
      <sz val="11"/>
      <color rgb="FF000000"/>
      <name val="Aptos Narrow"/>
      <charset val="1"/>
    </font>
    <font>
      <sz val="11"/>
      <color rgb="FFFF000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scheme val="minor"/>
    </font>
    <font>
      <b/>
      <sz val="11"/>
      <color theme="0"/>
      <name val="Aptos Narrow"/>
      <family val="2"/>
      <scheme val="minor"/>
    </font>
    <font>
      <b/>
      <sz val="11"/>
      <color theme="0"/>
      <name val="Aptos Narrow"/>
      <scheme val="minor"/>
    </font>
    <font>
      <i/>
      <sz val="11"/>
      <color theme="1"/>
      <name val="Aptos Narrow"/>
      <scheme val="minor"/>
    </font>
    <font>
      <b/>
      <sz val="11"/>
      <color theme="1"/>
      <name val="Aptos Narrow"/>
      <scheme val="minor"/>
    </font>
    <font>
      <b/>
      <u/>
      <sz val="11"/>
      <color theme="1"/>
      <name val="Aptos Narrow"/>
      <scheme val="minor"/>
    </font>
    <font>
      <b/>
      <u/>
      <sz val="11"/>
      <color theme="1"/>
      <name val="Verdana"/>
      <family val="2"/>
    </font>
    <font>
      <vertAlign val="subscript"/>
      <sz val="11"/>
      <color theme="1"/>
      <name val="Aptos Narrow"/>
      <scheme val="minor"/>
    </font>
    <font>
      <vertAlign val="subscript"/>
      <sz val="11"/>
      <color rgb="FF000000"/>
      <name val="Aptos Narrow"/>
      <scheme val="minor"/>
    </font>
    <font>
      <vertAlign val="superscript"/>
      <sz val="11"/>
      <color theme="1"/>
      <name val="Aptos Narrow"/>
      <scheme val="minor"/>
    </font>
    <font>
      <b/>
      <u/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u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89999084444715716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6" fillId="0" borderId="0" applyFont="0" applyFill="0" applyBorder="0" applyAlignment="0" applyProtection="0"/>
  </cellStyleXfs>
  <cellXfs count="72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0" borderId="3" xfId="0" applyFont="1" applyBorder="1"/>
    <xf numFmtId="0" fontId="1" fillId="0" borderId="7" xfId="0" applyFont="1" applyBorder="1"/>
    <xf numFmtId="0" fontId="0" fillId="0" borderId="9" xfId="0" applyBorder="1"/>
    <xf numFmtId="0" fontId="2" fillId="0" borderId="0" xfId="0" applyFont="1"/>
    <xf numFmtId="0" fontId="4" fillId="0" borderId="0" xfId="0" applyFont="1"/>
    <xf numFmtId="0" fontId="5" fillId="0" borderId="0" xfId="0" applyFont="1"/>
    <xf numFmtId="165" fontId="0" fillId="0" borderId="0" xfId="1" applyNumberFormat="1" applyFont="1"/>
    <xf numFmtId="0" fontId="0" fillId="3" borderId="0" xfId="0" applyFill="1"/>
    <xf numFmtId="0" fontId="0" fillId="4" borderId="0" xfId="0" applyFill="1"/>
    <xf numFmtId="166" fontId="7" fillId="0" borderId="0" xfId="1" applyNumberFormat="1" applyFont="1"/>
    <xf numFmtId="167" fontId="0" fillId="0" borderId="0" xfId="0" applyNumberFormat="1"/>
    <xf numFmtId="0" fontId="9" fillId="5" borderId="0" xfId="0" applyFont="1" applyFill="1"/>
    <xf numFmtId="0" fontId="10" fillId="0" borderId="0" xfId="0" applyFont="1"/>
    <xf numFmtId="0" fontId="11" fillId="0" borderId="0" xfId="0" applyFont="1"/>
    <xf numFmtId="0" fontId="7" fillId="0" borderId="0" xfId="0" applyFont="1"/>
    <xf numFmtId="0" fontId="12" fillId="0" borderId="0" xfId="0" applyFont="1"/>
    <xf numFmtId="0" fontId="8" fillId="5" borderId="10" xfId="0" applyFont="1" applyFill="1" applyBorder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right"/>
    </xf>
    <xf numFmtId="0" fontId="13" fillId="0" borderId="0" xfId="0" applyFont="1"/>
    <xf numFmtId="168" fontId="0" fillId="0" borderId="0" xfId="0" applyNumberFormat="1"/>
    <xf numFmtId="0" fontId="0" fillId="0" borderId="0" xfId="0" applyAlignment="1">
      <alignment vertical="top" textRotation="255"/>
    </xf>
    <xf numFmtId="0" fontId="0" fillId="0" borderId="11" xfId="0" applyBorder="1"/>
    <xf numFmtId="49" fontId="0" fillId="0" borderId="11" xfId="0" applyNumberFormat="1" applyBorder="1"/>
    <xf numFmtId="2" fontId="0" fillId="0" borderId="11" xfId="0" applyNumberFormat="1" applyBorder="1"/>
    <xf numFmtId="169" fontId="0" fillId="0" borderId="11" xfId="0" applyNumberFormat="1" applyBorder="1"/>
    <xf numFmtId="0" fontId="0" fillId="4" borderId="11" xfId="0" applyFill="1" applyBorder="1"/>
    <xf numFmtId="0" fontId="0" fillId="0" borderId="12" xfId="0" applyBorder="1"/>
    <xf numFmtId="170" fontId="0" fillId="4" borderId="11" xfId="0" applyNumberFormat="1" applyFill="1" applyBorder="1"/>
    <xf numFmtId="170" fontId="0" fillId="0" borderId="0" xfId="0" applyNumberFormat="1"/>
    <xf numFmtId="0" fontId="0" fillId="0" borderId="0" xfId="0" applyAlignment="1">
      <alignment horizontal="right"/>
    </xf>
    <xf numFmtId="0" fontId="0" fillId="0" borderId="13" xfId="0" applyBorder="1"/>
    <xf numFmtId="0" fontId="0" fillId="0" borderId="14" xfId="0" applyBorder="1"/>
    <xf numFmtId="49" fontId="0" fillId="0" borderId="14" xfId="0" applyNumberFormat="1" applyBorder="1"/>
    <xf numFmtId="169" fontId="0" fillId="0" borderId="15" xfId="0" applyNumberFormat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49" fontId="0" fillId="0" borderId="19" xfId="0" applyNumberFormat="1" applyBorder="1"/>
    <xf numFmtId="169" fontId="0" fillId="0" borderId="20" xfId="0" applyNumberFormat="1" applyBorder="1"/>
    <xf numFmtId="170" fontId="0" fillId="4" borderId="20" xfId="0" applyNumberFormat="1" applyFill="1" applyBorder="1"/>
    <xf numFmtId="169" fontId="0" fillId="0" borderId="21" xfId="0" applyNumberFormat="1" applyBorder="1"/>
    <xf numFmtId="0" fontId="0" fillId="0" borderId="19" xfId="0" applyBorder="1"/>
    <xf numFmtId="0" fontId="0" fillId="4" borderId="20" xfId="0" applyFill="1" applyBorder="1"/>
    <xf numFmtId="169" fontId="0" fillId="0" borderId="12" xfId="0" applyNumberFormat="1" applyBorder="1"/>
    <xf numFmtId="0" fontId="2" fillId="0" borderId="0" xfId="0" applyFont="1" applyAlignment="1">
      <alignment horizontal="right"/>
    </xf>
    <xf numFmtId="0" fontId="17" fillId="0" borderId="0" xfId="0" applyFont="1"/>
    <xf numFmtId="0" fontId="18" fillId="0" borderId="0" xfId="0" applyFont="1"/>
    <xf numFmtId="169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/>
    <xf numFmtId="0" fontId="0" fillId="2" borderId="11" xfId="0" applyFill="1" applyBorder="1"/>
    <xf numFmtId="171" fontId="0" fillId="0" borderId="0" xfId="0" applyNumberFormat="1"/>
    <xf numFmtId="172" fontId="0" fillId="0" borderId="0" xfId="0" applyNumberFormat="1"/>
    <xf numFmtId="49" fontId="0" fillId="0" borderId="0" xfId="0" applyNumberFormat="1"/>
    <xf numFmtId="0" fontId="0" fillId="0" borderId="22" xfId="0" applyBorder="1"/>
    <xf numFmtId="173" fontId="0" fillId="0" borderId="0" xfId="0" applyNumberFormat="1"/>
    <xf numFmtId="174" fontId="0" fillId="0" borderId="0" xfId="0" applyNumberFormat="1"/>
    <xf numFmtId="0" fontId="0" fillId="6" borderId="0" xfId="0" applyFill="1"/>
    <xf numFmtId="0" fontId="19" fillId="0" borderId="0" xfId="0" applyFont="1"/>
    <xf numFmtId="0" fontId="0" fillId="0" borderId="3" xfId="0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0" xfId="0" applyAlignment="1">
      <alignment horizontal="center" textRotation="90"/>
    </xf>
  </cellXfs>
  <cellStyles count="2">
    <cellStyle name="Millares" xfId="1" builtinId="3"/>
    <cellStyle name="Normal" xfId="0" builtinId="0"/>
  </cellStyles>
  <dxfs count="193">
    <dxf>
      <numFmt numFmtId="170" formatCode="0.000"/>
    </dxf>
    <dxf>
      <numFmt numFmtId="2" formatCode="0.00"/>
    </dxf>
    <dxf>
      <numFmt numFmtId="0" formatCode="General"/>
    </dxf>
    <dxf>
      <numFmt numFmtId="0" formatCode="General"/>
    </dxf>
    <dxf>
      <numFmt numFmtId="170" formatCode="0.000"/>
    </dxf>
    <dxf>
      <numFmt numFmtId="170" formatCode="0.000"/>
    </dxf>
    <dxf>
      <numFmt numFmtId="0" formatCode="General"/>
    </dxf>
    <dxf>
      <numFmt numFmtId="169" formatCode="0.0000"/>
    </dxf>
    <dxf>
      <numFmt numFmtId="169" formatCode="0.0000"/>
    </dxf>
    <dxf>
      <numFmt numFmtId="0" formatCode="General"/>
    </dxf>
    <dxf>
      <numFmt numFmtId="0" formatCode="General"/>
    </dxf>
    <dxf>
      <numFmt numFmtId="170" formatCode="0.000"/>
    </dxf>
    <dxf>
      <numFmt numFmtId="170" formatCode="0.000"/>
    </dxf>
    <dxf>
      <numFmt numFmtId="0" formatCode="General"/>
    </dxf>
    <dxf>
      <numFmt numFmtId="169" formatCode="0.0000"/>
    </dxf>
    <dxf>
      <numFmt numFmtId="169" formatCode="0.0000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"/>
    </dxf>
    <dxf>
      <numFmt numFmtId="170" formatCode="0.000"/>
    </dxf>
    <dxf>
      <numFmt numFmtId="0" formatCode="General"/>
    </dxf>
    <dxf>
      <numFmt numFmtId="169" formatCode="0.0000"/>
    </dxf>
    <dxf>
      <numFmt numFmtId="169" formatCode="0.0000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"/>
    </dxf>
    <dxf>
      <numFmt numFmtId="170" formatCode="0.000"/>
    </dxf>
    <dxf>
      <numFmt numFmtId="0" formatCode="General"/>
    </dxf>
    <dxf>
      <numFmt numFmtId="169" formatCode="0.0000"/>
    </dxf>
    <dxf>
      <numFmt numFmtId="169" formatCode="0.0000"/>
    </dxf>
    <dxf>
      <numFmt numFmtId="0" formatCode="General"/>
    </dxf>
    <dxf>
      <numFmt numFmtId="0" formatCode="General"/>
    </dxf>
    <dxf>
      <numFmt numFmtId="170" formatCode="0.000"/>
    </dxf>
    <dxf>
      <numFmt numFmtId="170" formatCode="0.000"/>
    </dxf>
    <dxf>
      <numFmt numFmtId="169" formatCode="0.000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0.00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0.00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numFmt numFmtId="30" formatCode="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0.000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69" formatCode="0.00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9" formatCode="0.00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9" formatCode="0.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0" formatCode="0.000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0" formatCode="0.000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0.000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9" formatCode="0.00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0.000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9" formatCode="0.00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170" formatCode="0.000"/>
    </dxf>
    <dxf>
      <numFmt numFmtId="170" formatCode="0.000"/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0.00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0.00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numFmt numFmtId="30" formatCode="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0.000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69" formatCode="0.00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9" formatCode="0.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0" formatCode="0.000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0" formatCode="0.000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9" formatCode="0.00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9" formatCode="0.00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30" formatCode="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6" formatCode="#,##0.00&quot;m2&quot;"/>
    </dxf>
    <dxf>
      <numFmt numFmtId="165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6" formatCode="#,##0.00&quot;m2&quot;"/>
    </dxf>
    <dxf>
      <numFmt numFmtId="165" formatCode="_-* #,##0.000_-;\-* #,##0.000_-;_-* &quot;-&quot;??_-;_-@_-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ill>
        <patternFill patternType="none">
          <fgColor indexed="64"/>
          <bgColor indexed="65"/>
        </patternFill>
      </fill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left style="thin">
          <color rgb="FF000000"/>
        </left>
        <right/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left/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numFmt numFmtId="168" formatCode="#,##0.00&quot;kg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scheme val="minor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</dxf>
    <dxf>
      <numFmt numFmtId="167" formatCode="#,##0.00&quot;m3&quot;"/>
    </dxf>
    <dxf>
      <fill>
        <patternFill patternType="none"/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/>
      </fill>
    </dxf>
    <dxf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/>
      </fill>
    </dxf>
    <dxf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/>
      </fill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color theme="0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/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theme="4" tint="0.79998168889431442"/>
          <bgColor theme="4" tint="0.79998168889431442"/>
        </patternFill>
      </fill>
    </dxf>
    <dxf>
      <numFmt numFmtId="168" formatCode="#,##0.00&quot;kg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scheme val="minor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numFmt numFmtId="167" formatCode="#,##0.00&quot;m3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</dxf>
    <dxf>
      <numFmt numFmtId="167" formatCode="#,##0.00&quot;m3&quot;"/>
    </dxf>
    <dxf>
      <numFmt numFmtId="167" formatCode="#,##0.00&quot;m3&quot;"/>
    </dxf>
    <dxf>
      <border outline="0">
        <left style="thin">
          <color theme="4" tint="0.39997558519241921"/>
        </left>
      </border>
    </dxf>
    <dxf>
      <numFmt numFmtId="167" formatCode="#,##0.00&quot;m3&quot;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viga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Lit>
              <c:formatCode>General</c:formatCode>
              <c:ptCount val="13"/>
              <c:pt idx="0">
                <c:v>0</c:v>
              </c:pt>
              <c:pt idx="1">
                <c:v>2</c:v>
              </c:pt>
              <c:pt idx="2">
                <c:v>2</c:v>
              </c:pt>
              <c:pt idx="3">
                <c:v>1.25</c:v>
              </c:pt>
              <c:pt idx="4">
                <c:v>1.25</c:v>
              </c:pt>
              <c:pt idx="5">
                <c:v>2</c:v>
              </c:pt>
              <c:pt idx="6">
                <c:v>2</c:v>
              </c:pt>
              <c:pt idx="7">
                <c:v>0</c:v>
              </c:pt>
              <c:pt idx="8">
                <c:v>0</c:v>
              </c:pt>
              <c:pt idx="9">
                <c:v>0.75</c:v>
              </c:pt>
              <c:pt idx="10">
                <c:v>0.75</c:v>
              </c:pt>
              <c:pt idx="11">
                <c:v>0</c:v>
              </c:pt>
              <c:pt idx="12">
                <c:v>0</c:v>
              </c:pt>
            </c:numLit>
          </c:xVal>
          <c:yVal>
            <c:numLit>
              <c:formatCode>General</c:formatCode>
              <c:ptCount val="13"/>
              <c:pt idx="0">
                <c:v>0</c:v>
              </c:pt>
              <c:pt idx="1">
                <c:v>0</c:v>
              </c:pt>
              <c:pt idx="2">
                <c:v>0.5</c:v>
              </c:pt>
              <c:pt idx="3">
                <c:v>0.5</c:v>
              </c:pt>
              <c:pt idx="4">
                <c:v>2.5</c:v>
              </c:pt>
              <c:pt idx="5">
                <c:v>2.5</c:v>
              </c:pt>
              <c:pt idx="6">
                <c:v>3</c:v>
              </c:pt>
              <c:pt idx="7">
                <c:v>3</c:v>
              </c:pt>
              <c:pt idx="8">
                <c:v>2.5</c:v>
              </c:pt>
              <c:pt idx="9">
                <c:v>2.5</c:v>
              </c:pt>
              <c:pt idx="10">
                <c:v>0.5</c:v>
              </c:pt>
              <c:pt idx="11">
                <c:v>0.5</c:v>
              </c:pt>
              <c:pt idx="1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B74C-45F1-BDEE-AEFAB9A8E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155080"/>
        <c:axId val="367151944"/>
      </c:scatterChart>
      <c:valAx>
        <c:axId val="367155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bw</a:t>
                </a:r>
              </a:p>
            </c:rich>
          </c:tx>
          <c:layout>
            <c:manualLayout>
              <c:xMode val="edge"/>
              <c:yMode val="edge"/>
              <c:x val="0.45255835438682523"/>
              <c:y val="0.8982586970443127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367151944"/>
        <c:crosses val="autoZero"/>
        <c:crossBetween val="midCat"/>
      </c:valAx>
      <c:valAx>
        <c:axId val="36715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hf</a:t>
                </a:r>
              </a:p>
            </c:rich>
          </c:tx>
          <c:layout>
            <c:manualLayout>
              <c:xMode val="edge"/>
              <c:yMode val="edge"/>
              <c:x val="3.674934787664004E-2"/>
              <c:y val="0.459728874096923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367155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10" Type="http://schemas.openxmlformats.org/officeDocument/2006/relationships/image" Target="../media/image11.jpe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png"/><Relationship Id="rId1" Type="http://schemas.openxmlformats.org/officeDocument/2006/relationships/image" Target="../media/image3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1085850</xdr:colOff>
      <xdr:row>195</xdr:row>
      <xdr:rowOff>0</xdr:rowOff>
    </xdr:from>
    <xdr:to>
      <xdr:col>2</xdr:col>
      <xdr:colOff>1179740</xdr:colOff>
      <xdr:row>208</xdr:row>
      <xdr:rowOff>114300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  <a:ext uri="{147F2762-F138-4A5C-976F-8EAC2B608ADB}">
              <a16:predDERef xmlns:a16="http://schemas.microsoft.com/office/drawing/2014/main" pred="{26CDFCCC-CE9C-5CE8-6108-5E19E7201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5850" y="35861625"/>
          <a:ext cx="2294165" cy="2466975"/>
        </a:xfrm>
        <a:prstGeom prst="rect">
          <a:avLst/>
        </a:prstGeom>
      </xdr:spPr>
    </xdr:pic>
    <xdr:clientData/>
  </xdr:twoCellAnchor>
  <xdr:twoCellAnchor editAs="oneCell">
    <xdr:from>
      <xdr:col>3</xdr:col>
      <xdr:colOff>390525</xdr:colOff>
      <xdr:row>198</xdr:row>
      <xdr:rowOff>152400</xdr:rowOff>
    </xdr:from>
    <xdr:to>
      <xdr:col>4</xdr:col>
      <xdr:colOff>1209675</xdr:colOff>
      <xdr:row>206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  <a:ext uri="{147F2762-F138-4A5C-976F-8EAC2B608ADB}">
              <a16:predDERef xmlns:a16="http://schemas.microsoft.com/office/drawing/2014/main" pred="{B183C5D7-4437-0ED1-D1C5-C2F3DA0A4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33800" y="36556950"/>
          <a:ext cx="3219450" cy="1295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4</xdr:row>
          <xdr:rowOff>38100</xdr:rowOff>
        </xdr:from>
        <xdr:to>
          <xdr:col>12</xdr:col>
          <xdr:colOff>121920</xdr:colOff>
          <xdr:row>6</xdr:row>
          <xdr:rowOff>45720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28575</xdr:colOff>
      <xdr:row>256</xdr:row>
      <xdr:rowOff>68639</xdr:rowOff>
    </xdr:from>
    <xdr:to>
      <xdr:col>2</xdr:col>
      <xdr:colOff>180975</xdr:colOff>
      <xdr:row>265</xdr:row>
      <xdr:rowOff>9794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3000" y="46969739"/>
          <a:ext cx="1266825" cy="1569930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</xdr:colOff>
      <xdr:row>258</xdr:row>
      <xdr:rowOff>19050</xdr:rowOff>
    </xdr:from>
    <xdr:to>
      <xdr:col>3</xdr:col>
      <xdr:colOff>1114562</xdr:colOff>
      <xdr:row>260</xdr:row>
      <xdr:rowOff>76258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71850" y="47282100"/>
          <a:ext cx="981212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266</xdr:row>
      <xdr:rowOff>9525</xdr:rowOff>
    </xdr:from>
    <xdr:to>
      <xdr:col>4</xdr:col>
      <xdr:colOff>381737</xdr:colOff>
      <xdr:row>274</xdr:row>
      <xdr:rowOff>28780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62050" y="48720375"/>
          <a:ext cx="5277587" cy="146705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275</xdr:row>
      <xdr:rowOff>19050</xdr:rowOff>
    </xdr:from>
    <xdr:to>
      <xdr:col>2</xdr:col>
      <xdr:colOff>905150</xdr:colOff>
      <xdr:row>278</xdr:row>
      <xdr:rowOff>57231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62050" y="50358675"/>
          <a:ext cx="1971950" cy="581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279</xdr:row>
      <xdr:rowOff>0</xdr:rowOff>
    </xdr:from>
    <xdr:to>
      <xdr:col>3</xdr:col>
      <xdr:colOff>867251</xdr:colOff>
      <xdr:row>312</xdr:row>
      <xdr:rowOff>134202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14425" y="51063525"/>
          <a:ext cx="3410426" cy="6106377"/>
        </a:xfrm>
        <a:prstGeom prst="rect">
          <a:avLst/>
        </a:prstGeom>
      </xdr:spPr>
    </xdr:pic>
    <xdr:clientData/>
  </xdr:twoCellAnchor>
  <xdr:twoCellAnchor editAs="oneCell">
    <xdr:from>
      <xdr:col>3</xdr:col>
      <xdr:colOff>447675</xdr:colOff>
      <xdr:row>372</xdr:row>
      <xdr:rowOff>152400</xdr:rowOff>
    </xdr:from>
    <xdr:to>
      <xdr:col>4</xdr:col>
      <xdr:colOff>143167</xdr:colOff>
      <xdr:row>399</xdr:row>
      <xdr:rowOff>124503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029075" y="63541275"/>
          <a:ext cx="2095792" cy="4858428"/>
        </a:xfrm>
        <a:prstGeom prst="rect">
          <a:avLst/>
        </a:prstGeom>
      </xdr:spPr>
    </xdr:pic>
    <xdr:clientData/>
  </xdr:twoCellAnchor>
  <xdr:oneCellAnchor>
    <xdr:from>
      <xdr:col>3</xdr:col>
      <xdr:colOff>599344</xdr:colOff>
      <xdr:row>505</xdr:row>
      <xdr:rowOff>134776</xdr:rowOff>
    </xdr:from>
    <xdr:ext cx="1677131" cy="4472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  <a:ext uri="{147F2762-F138-4A5C-976F-8EAC2B608ADB}">
                  <a16:predDERef xmlns:a16="http://schemas.microsoft.com/office/drawing/2014/main" pred="{00000000-0008-0000-0000-00000E000000}"/>
                </a:ext>
              </a:extLst>
            </xdr:cNvPr>
            <xdr:cNvSpPr txBox="1"/>
          </xdr:nvSpPr>
          <xdr:spPr>
            <a:xfrm>
              <a:off x="3875944" y="92479651"/>
              <a:ext cx="1677131" cy="447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𝐽</m:t>
                    </m:r>
                    <m:r>
                      <a:rPr lang="es-MX" sz="12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2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n-US" sz="12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2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s-MX" sz="1200" i="1" baseline="-250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𝑌</m:t>
                            </m:r>
                          </m:num>
                          <m:den>
                            <m:r>
                              <a:rPr lang="es-MX" sz="12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den>
                        </m:f>
                        <m:bar>
                          <m:barPr>
                            <m:pos m:val="top"/>
                            <m:ctrlPr>
                              <a:rPr lang="en-US" sz="12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barPr>
                          <m:e>
                            <m:r>
                              <a:rPr lang="es-MX" sz="12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𝑋</m:t>
                            </m:r>
                          </m:e>
                        </m:bar>
                        <m:r>
                          <a:rPr lang="es-MX" sz="1200" i="1" baseline="300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e>
                    </m:nary>
                    <m:r>
                      <a:rPr lang="en-US" sz="12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2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n-US" sz="12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2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s-MX" sz="1200" b="0" i="1" baseline="-250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𝑋</m:t>
                            </m:r>
                          </m:num>
                          <m:den>
                            <m:r>
                              <a:rPr lang="es-MX" sz="12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den>
                        </m:f>
                        <m:bar>
                          <m:barPr>
                            <m:pos m:val="top"/>
                            <m:ctrlPr>
                              <a:rPr lang="en-US" sz="12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barPr>
                          <m:e>
                            <m:r>
                              <a:rPr lang="es-MX" sz="12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𝑌</m:t>
                            </m:r>
                          </m:e>
                        </m:bar>
                        <m:r>
                          <a:rPr lang="es-PE" sz="1200" b="0" i="1" baseline="300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e>
                    </m:nary>
                  </m:oMath>
                </m:oMathPara>
              </a14:m>
              <a:endParaRPr lang="en-US" sz="1200" i="1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  <a:ext uri="{147F2762-F138-4A5C-976F-8EAC2B608ADB}">
                  <a16:predDERef xmlns:a16="http://schemas.microsoft.com/office/drawing/2014/main" pred="{00000000-0008-0000-0000-00000E000000}"/>
                </a:ext>
              </a:extLst>
            </xdr:cNvPr>
            <xdr:cNvSpPr txBox="1"/>
          </xdr:nvSpPr>
          <xdr:spPr>
            <a:xfrm>
              <a:off x="3875944" y="92479651"/>
              <a:ext cx="1677131" cy="447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𝐽=</a:t>
              </a:r>
              <a:r>
                <a:rPr lang="en-US" sz="12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2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n-US" sz="12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2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𝐾</a:t>
              </a:r>
              <a:r>
                <a:rPr lang="es-MX" sz="120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𝑌</a:t>
              </a:r>
              <a:r>
                <a:rPr lang="en-US" sz="120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2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en-US" sz="12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¯</a:t>
              </a:r>
              <a:r>
                <a:rPr lang="es-MX" sz="12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𝑋</a:t>
              </a:r>
              <a:r>
                <a:rPr lang="es-MX" sz="120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2</a:t>
              </a:r>
              <a:r>
                <a:rPr lang="en-US" sz="120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n-US" sz="12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+∑</a:t>
              </a:r>
              <a:r>
                <a:rPr lang="es-MX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n-US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2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𝐾</a:t>
              </a:r>
              <a:r>
                <a:rPr lang="es-MX" sz="1200" b="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𝑋</a:t>
              </a:r>
              <a:r>
                <a:rPr lang="en-US" sz="1200" b="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2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en-US" sz="12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¯</a:t>
              </a:r>
              <a:r>
                <a:rPr lang="es-MX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𝑌</a:t>
              </a:r>
              <a:r>
                <a:rPr lang="es-PE" sz="1200" b="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2</a:t>
              </a:r>
              <a:r>
                <a:rPr lang="en-US" sz="1200" b="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n-US" sz="1200" i="1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187</xdr:row>
      <xdr:rowOff>14285</xdr:rowOff>
    </xdr:from>
    <xdr:ext cx="1028700" cy="4619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838200" y="34180460"/>
              <a:ext cx="1028700" cy="4619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𝐻</m:t>
                    </m:r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𝑍𝑈𝑆𝐶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</m:t>
                        </m:r>
                        <m:r>
                          <a:rPr lang="es-MX" sz="1300" b="0" i="1" baseline="-250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𝑃</m:t>
                    </m:r>
                  </m:oMath>
                </m:oMathPara>
              </a14:m>
              <a:endParaRPr lang="en-US" sz="13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15" name="CuadroTexto 14"/>
            <xdr:cNvSpPr txBox="1"/>
          </xdr:nvSpPr>
          <xdr:spPr>
            <a:xfrm>
              <a:off x="838200" y="34180460"/>
              <a:ext cx="1028700" cy="4619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𝐻=𝑍𝑈𝑆𝐶/𝑅</a:t>
              </a:r>
              <a:r>
                <a:rPr lang="es-MX" sz="13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𝑑 </a:t>
              </a:r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endParaRPr lang="en-US" sz="13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</xdr:col>
      <xdr:colOff>314325</xdr:colOff>
      <xdr:row>218</xdr:row>
      <xdr:rowOff>176212</xdr:rowOff>
    </xdr:from>
    <xdr:ext cx="1650067" cy="3788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 txBox="1"/>
          </xdr:nvSpPr>
          <xdr:spPr>
            <a:xfrm>
              <a:off x="1123950" y="40200262"/>
              <a:ext cx="1650067" cy="3788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=2.5</m:t>
                    </m:r>
                    <m:d>
                      <m:d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3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r>
                              <a:rPr lang="es-MX" sz="1300" b="0" i="1" baseline="-25000">
                                <a:latin typeface="Cambria Math" panose="02040503050406030204" pitchFamily="18" charset="0"/>
                              </a:rPr>
                              <m:t>𝑃</m:t>
                            </m:r>
                          </m:num>
                          <m:den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den>
                        </m:f>
                      </m:e>
                    </m:d>
                    <m:r>
                      <a:rPr lang="es-MX" sz="1300" b="0" i="1">
                        <a:latin typeface="Cambria Math" panose="02040503050406030204" pitchFamily="18" charset="0"/>
                      </a:rPr>
                      <m:t>;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≤2.5</m:t>
                    </m:r>
                  </m:oMath>
                </m:oMathPara>
              </a14:m>
              <a:endParaRPr lang="en-US" sz="1300"/>
            </a:p>
          </xdr:txBody>
        </xdr:sp>
      </mc:Choice>
      <mc:Fallback xmlns="">
        <xdr:sp macro="" textlink="">
          <xdr:nvSpPr>
            <xdr:cNvPr id="16" name="CuadroTexto 15"/>
            <xdr:cNvSpPr txBox="1"/>
          </xdr:nvSpPr>
          <xdr:spPr>
            <a:xfrm>
              <a:off x="1123950" y="40200262"/>
              <a:ext cx="1650067" cy="3788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𝐶=2.5(𝑇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𝑃/</a:t>
              </a:r>
              <a:r>
                <a:rPr lang="es-MX" sz="1300" b="0" i="0">
                  <a:latin typeface="Cambria Math" panose="02040503050406030204" pitchFamily="18" charset="0"/>
                </a:rPr>
                <a:t>𝑇);𝐶</a:t>
              </a:r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≤2.5</a:t>
              </a:r>
              <a:endParaRPr lang="en-US" sz="1300"/>
            </a:p>
          </xdr:txBody>
        </xdr:sp>
      </mc:Fallback>
    </mc:AlternateContent>
    <xdr:clientData/>
  </xdr:oneCellAnchor>
  <xdr:oneCellAnchor>
    <xdr:from>
      <xdr:col>2</xdr:col>
      <xdr:colOff>238125</xdr:colOff>
      <xdr:row>226</xdr:row>
      <xdr:rowOff>128587</xdr:rowOff>
    </xdr:from>
    <xdr:ext cx="589327" cy="37984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2162175" y="41600437"/>
              <a:ext cx="589327" cy="3798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h</m:t>
                        </m:r>
                        <m:r>
                          <a:rPr lang="es-MX" sz="1300" b="0" i="1" baseline="-25000">
                            <a:latin typeface="Cambria Math" panose="02040503050406030204" pitchFamily="18" charset="0"/>
                          </a:rPr>
                          <m:t>𝑅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𝐶</m:t>
                        </m:r>
                        <m:r>
                          <a:rPr lang="es-MX" sz="1300" b="0" i="1" baseline="-25000">
                            <a:latin typeface="Cambria Math" panose="02040503050406030204" pitchFamily="18" charset="0"/>
                          </a:rPr>
                          <m:t>𝑇</m:t>
                        </m:r>
                      </m:den>
                    </m:f>
                  </m:oMath>
                </m:oMathPara>
              </a14:m>
              <a:endParaRPr lang="en-US" sz="1300"/>
            </a:p>
          </xdr:txBody>
        </xdr:sp>
      </mc:Choice>
      <mc:Fallback xmlns="">
        <xdr:sp macro="" textlink="">
          <xdr:nvSpPr>
            <xdr:cNvPr id="18" name="CuadroTexto 17"/>
            <xdr:cNvSpPr txBox="1"/>
          </xdr:nvSpPr>
          <xdr:spPr>
            <a:xfrm>
              <a:off x="2162175" y="41600437"/>
              <a:ext cx="589327" cy="3798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𝑇=ℎ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𝑅/</a:t>
              </a:r>
              <a:r>
                <a:rPr lang="es-MX" sz="1300" b="0" i="0">
                  <a:latin typeface="Cambria Math" panose="02040503050406030204" pitchFamily="18" charset="0"/>
                </a:rPr>
                <a:t>𝐶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𝑇</a:t>
              </a:r>
              <a:endParaRPr lang="en-US" sz="1300"/>
            </a:p>
          </xdr:txBody>
        </xdr:sp>
      </mc:Fallback>
    </mc:AlternateContent>
    <xdr:clientData/>
  </xdr:oneCellAnchor>
  <xdr:oneCellAnchor>
    <xdr:from>
      <xdr:col>1</xdr:col>
      <xdr:colOff>57149</xdr:colOff>
      <xdr:row>244</xdr:row>
      <xdr:rowOff>38100</xdr:rowOff>
    </xdr:from>
    <xdr:ext cx="1800226" cy="4126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866774" y="44767500"/>
              <a:ext cx="1800226" cy="4126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𝐹</m:t>
                    </m:r>
                    <m:r>
                      <a:rPr lang="es-MX" sz="1300" b="0" i="1" baseline="-2500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𝑖</m:t>
                    </m:r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  <m:r>
                          <a:rPr lang="es-MX" sz="1300" b="0" i="1" baseline="-250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  <m:r>
                          <a:rPr lang="es-MX" sz="1300" b="0" i="1" baseline="-250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num>
                      <m:den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MX" sz="13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3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𝑃</m:t>
                            </m:r>
                            <m:r>
                              <a:rPr lang="es-MX" sz="1300" b="0" i="1" baseline="-250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  <m:r>
                              <a:rPr lang="es-MX" sz="13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h</m:t>
                            </m:r>
                            <m:r>
                              <a:rPr lang="es-MX" sz="1300" b="0" i="1" baseline="-250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e>
                        </m:nary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(</m:t>
                    </m:r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𝐻</m:t>
                    </m:r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𝐹𝑎</m:t>
                    </m:r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300" baseline="-250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19" name="CuadroTexto 18"/>
            <xdr:cNvSpPr txBox="1"/>
          </xdr:nvSpPr>
          <xdr:spPr>
            <a:xfrm>
              <a:off x="866774" y="44767500"/>
              <a:ext cx="1800226" cy="4126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𝐹</a:t>
              </a:r>
              <a:r>
                <a:rPr lang="es-MX" sz="13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=𝑃</a:t>
              </a:r>
              <a:r>
                <a:rPr lang="es-MX" sz="13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ℎ</a:t>
              </a:r>
              <a:r>
                <a:rPr lang="es-MX" sz="13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𝑖/(∑▒</a:t>
              </a:r>
              <a:r>
                <a:rPr lang="es-MX" sz="13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𝑃</a:t>
              </a:r>
              <a:r>
                <a:rPr lang="es-MX" sz="13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𝑖</a:t>
              </a:r>
              <a:r>
                <a:rPr lang="es-MX" sz="13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ℎ</a:t>
              </a:r>
              <a:r>
                <a:rPr lang="es-MX" sz="13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𝑖) </a:t>
              </a:r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(𝐻−𝐹</a:t>
              </a:r>
              <a:r>
                <a:rPr lang="es-MX" sz="13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𝑎</a:t>
              </a:r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n-US" sz="1300" baseline="-250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</xdr:col>
      <xdr:colOff>514349</xdr:colOff>
      <xdr:row>239</xdr:row>
      <xdr:rowOff>0</xdr:rowOff>
    </xdr:from>
    <xdr:ext cx="10572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323974" y="43824525"/>
              <a:ext cx="1057275" cy="4095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𝐻</m:t>
                    </m:r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𝑍𝑈𝑆𝐶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</m:t>
                        </m:r>
                        <m:r>
                          <a:rPr lang="es-MX" sz="1300" b="0" i="1" baseline="-250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𝑃</m:t>
                    </m:r>
                  </m:oMath>
                </m:oMathPara>
              </a14:m>
              <a:endParaRPr lang="en-US" sz="13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1" name="CuadroTexto 20"/>
            <xdr:cNvSpPr txBox="1"/>
          </xdr:nvSpPr>
          <xdr:spPr>
            <a:xfrm>
              <a:off x="1323974" y="43824525"/>
              <a:ext cx="1057275" cy="4095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𝐻=𝑍𝑈𝑆𝐶/𝑅</a:t>
              </a:r>
              <a:r>
                <a:rPr lang="es-MX" sz="13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𝑑 </a:t>
              </a:r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endParaRPr lang="en-US" sz="13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409575</xdr:colOff>
      <xdr:row>508</xdr:row>
      <xdr:rowOff>161925</xdr:rowOff>
    </xdr:from>
    <xdr:ext cx="695326" cy="1955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2333625" y="93049725"/>
              <a:ext cx="695326" cy="1955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s-MX" sz="13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𝑒</m:t>
                  </m:r>
                  <m:r>
                    <a:rPr lang="es-MX" sz="13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es-MX" sz="13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𝑒</m:t>
                  </m:r>
                  <m:r>
                    <m:rPr>
                      <m:sty m:val="p"/>
                    </m:rPr>
                    <a:rPr lang="es-MX" sz="1300" b="0" i="0" baseline="-2500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x</m:t>
                  </m:r>
                </m:oMath>
              </a14:m>
              <a:r>
                <a:rPr lang="es-MX" sz="1300" b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+e</a:t>
              </a:r>
              <a:r>
                <a:rPr lang="es-MX" sz="1300" b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y</a:t>
              </a:r>
            </a:p>
          </xdr:txBody>
        </xdr:sp>
      </mc:Choice>
      <mc:Fallback xmlns="">
        <xdr:sp macro="" textlink="">
          <xdr:nvSpPr>
            <xdr:cNvPr id="20" name="CuadroTexto 19"/>
            <xdr:cNvSpPr txBox="1"/>
          </xdr:nvSpPr>
          <xdr:spPr>
            <a:xfrm>
              <a:off x="2333625" y="93049725"/>
              <a:ext cx="695326" cy="1955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𝑒=𝑒</a:t>
              </a:r>
              <a:r>
                <a:rPr lang="es-MX" sz="13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x</a:t>
              </a:r>
              <a:r>
                <a:rPr lang="es-MX" sz="1300" b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+e</a:t>
              </a:r>
              <a:r>
                <a:rPr lang="es-MX" sz="1300" b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y</a:t>
              </a:r>
            </a:p>
          </xdr:txBody>
        </xdr:sp>
      </mc:Fallback>
    </mc:AlternateContent>
    <xdr:clientData/>
  </xdr:oneCellAnchor>
  <xdr:oneCellAnchor>
    <xdr:from>
      <xdr:col>2</xdr:col>
      <xdr:colOff>276224</xdr:colOff>
      <xdr:row>510</xdr:row>
      <xdr:rowOff>142875</xdr:rowOff>
    </xdr:from>
    <xdr:ext cx="1057275" cy="1955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 txBox="1"/>
          </xdr:nvSpPr>
          <xdr:spPr>
            <a:xfrm>
              <a:off x="2200274" y="93392625"/>
              <a:ext cx="1057275" cy="1955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s-MX" sz="13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𝑒</m:t>
                  </m:r>
                  <m:r>
                    <m:rPr>
                      <m:sty m:val="p"/>
                    </m:rPr>
                    <a:rPr lang="es-MX" sz="1300" b="0" i="0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x</m:t>
                  </m:r>
                  <m:r>
                    <a:rPr lang="es-MX" sz="1300" b="0" i="1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m:rPr>
                      <m:sty m:val="p"/>
                    </m:rPr>
                    <a:rPr lang="es-MX" sz="1300" b="0" i="0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x</m:t>
                  </m:r>
                  <m:r>
                    <m:rPr>
                      <m:sty m:val="p"/>
                    </m:rPr>
                    <a:rPr lang="es-MX" sz="1300" b="0" i="0" baseline="-2500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CM</m:t>
                  </m:r>
                </m:oMath>
              </a14:m>
              <a:r>
                <a:rPr lang="es-MX" sz="1300" b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-x</a:t>
              </a:r>
              <a:r>
                <a:rPr lang="es-MX" sz="1300" b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CR</a:t>
              </a:r>
            </a:p>
          </xdr:txBody>
        </xdr:sp>
      </mc:Choice>
      <mc:Fallback xmlns="">
        <xdr:sp macro="" textlink="">
          <xdr:nvSpPr>
            <xdr:cNvPr id="23" name="CuadroTexto 22"/>
            <xdr:cNvSpPr txBox="1"/>
          </xdr:nvSpPr>
          <xdr:spPr>
            <a:xfrm>
              <a:off x="2200274" y="93392625"/>
              <a:ext cx="1057275" cy="1955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3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𝑒</a:t>
              </a:r>
              <a:r>
                <a:rPr lang="es-MX" sz="13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x</a:t>
              </a:r>
              <a:r>
                <a:rPr lang="es-MX" sz="13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=x</a:t>
              </a:r>
              <a:r>
                <a:rPr lang="es-MX" sz="13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CM</a:t>
              </a:r>
              <a:r>
                <a:rPr lang="es-MX" sz="1300" b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-x</a:t>
              </a:r>
              <a:r>
                <a:rPr lang="es-MX" sz="1300" b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CR</a:t>
              </a:r>
            </a:p>
          </xdr:txBody>
        </xdr:sp>
      </mc:Fallback>
    </mc:AlternateContent>
    <xdr:clientData/>
  </xdr:oneCellAnchor>
  <xdr:oneCellAnchor>
    <xdr:from>
      <xdr:col>2</xdr:col>
      <xdr:colOff>295274</xdr:colOff>
      <xdr:row>512</xdr:row>
      <xdr:rowOff>152400</xdr:rowOff>
    </xdr:from>
    <xdr:ext cx="1057275" cy="1955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 txBox="1"/>
          </xdr:nvSpPr>
          <xdr:spPr>
            <a:xfrm>
              <a:off x="2219324" y="93764100"/>
              <a:ext cx="1057275" cy="1955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s-MX" sz="13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𝑒</m:t>
                  </m:r>
                  <m:r>
                    <m:rPr>
                      <m:sty m:val="p"/>
                    </m:rPr>
                    <a:rPr lang="es-MX" sz="1300" b="0" i="0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y</m:t>
                  </m:r>
                  <m:r>
                    <a:rPr lang="es-MX" sz="1300" b="0" i="1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m:rPr>
                      <m:sty m:val="p"/>
                    </m:rPr>
                    <a:rPr lang="es-MX" sz="1300" b="0" i="0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y</m:t>
                  </m:r>
                  <m:r>
                    <m:rPr>
                      <m:sty m:val="p"/>
                    </m:rPr>
                    <a:rPr lang="es-MX" sz="1300" b="0" i="0" baseline="-2500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CM</m:t>
                  </m:r>
                </m:oMath>
              </a14:m>
              <a:r>
                <a:rPr lang="es-MX" sz="1300" b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-y</a:t>
              </a:r>
              <a:r>
                <a:rPr lang="es-MX" sz="1300" b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CR</a:t>
              </a:r>
            </a:p>
          </xdr:txBody>
        </xdr:sp>
      </mc:Choice>
      <mc:Fallback xmlns="">
        <xdr:sp macro="" textlink="">
          <xdr:nvSpPr>
            <xdr:cNvPr id="25" name="CuadroTexto 24"/>
            <xdr:cNvSpPr txBox="1"/>
          </xdr:nvSpPr>
          <xdr:spPr>
            <a:xfrm>
              <a:off x="2219324" y="93764100"/>
              <a:ext cx="1057275" cy="1955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3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𝑒</a:t>
              </a:r>
              <a:r>
                <a:rPr lang="es-MX" sz="13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y</a:t>
              </a:r>
              <a:r>
                <a:rPr lang="es-MX" sz="13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=y</a:t>
              </a:r>
              <a:r>
                <a:rPr lang="es-MX" sz="13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CM</a:t>
              </a:r>
              <a:r>
                <a:rPr lang="es-MX" sz="1300" b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-y</a:t>
              </a:r>
              <a:r>
                <a:rPr lang="es-MX" sz="1300" b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CR</a:t>
              </a:r>
            </a:p>
          </xdr:txBody>
        </xdr:sp>
      </mc:Fallback>
    </mc:AlternateContent>
    <xdr:clientData/>
  </xdr:oneCellAnchor>
  <xdr:oneCellAnchor>
    <xdr:from>
      <xdr:col>2</xdr:col>
      <xdr:colOff>466725</xdr:colOff>
      <xdr:row>523</xdr:row>
      <xdr:rowOff>161925</xdr:rowOff>
    </xdr:from>
    <xdr:ext cx="913648" cy="2084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2390775" y="95992950"/>
              <a:ext cx="913648" cy="2084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𝑀</m:t>
                    </m:r>
                    <m:r>
                      <a:rPr lang="es-MX" sz="1300" b="0" i="1" baseline="-25000">
                        <a:latin typeface="Cambria Math" panose="02040503050406030204" pitchFamily="18" charset="0"/>
                      </a:rPr>
                      <m:t>𝑇𝑖</m:t>
                    </m:r>
                    <m:r>
                      <a:rPr lang="es-MX" sz="1300" b="0" i="1" baseline="0">
                        <a:latin typeface="Cambria Math" panose="02040503050406030204" pitchFamily="18" charset="0"/>
                      </a:rPr>
                      <m:t>=±</m:t>
                    </m:r>
                    <m:r>
                      <a:rPr lang="es-MX" sz="1300" b="0" i="1" baseline="0">
                        <a:latin typeface="Cambria Math" panose="02040503050406030204" pitchFamily="18" charset="0"/>
                      </a:rPr>
                      <m:t>𝐹𝑖𝑒</m:t>
                    </m:r>
                  </m:oMath>
                </m:oMathPara>
              </a14:m>
              <a:endParaRPr lang="en-US" sz="1300" baseline="0"/>
            </a:p>
          </xdr:txBody>
        </xdr:sp>
      </mc:Choice>
      <mc:Fallback xmlns="">
        <xdr:sp macro="" textlink="">
          <xdr:nvSpPr>
            <xdr:cNvPr id="22" name="CuadroTexto 21"/>
            <xdr:cNvSpPr txBox="1"/>
          </xdr:nvSpPr>
          <xdr:spPr>
            <a:xfrm>
              <a:off x="2390775" y="95992950"/>
              <a:ext cx="913648" cy="2084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𝑀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𝑇𝑖</a:t>
              </a:r>
              <a:r>
                <a:rPr lang="es-MX" sz="1300" b="0" i="0" baseline="0">
                  <a:latin typeface="Cambria Math" panose="02040503050406030204" pitchFamily="18" charset="0"/>
                </a:rPr>
                <a:t>=±𝐹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𝑖</a:t>
              </a:r>
              <a:r>
                <a:rPr lang="es-MX" sz="1300" b="0" i="0" baseline="0">
                  <a:latin typeface="Cambria Math" panose="02040503050406030204" pitchFamily="18" charset="0"/>
                </a:rPr>
                <a:t>𝑒</a:t>
              </a:r>
              <a:endParaRPr lang="en-US" sz="1300" baseline="0"/>
            </a:p>
          </xdr:txBody>
        </xdr:sp>
      </mc:Fallback>
    </mc:AlternateContent>
    <xdr:clientData/>
  </xdr:oneCellAnchor>
  <xdr:oneCellAnchor>
    <xdr:from>
      <xdr:col>2</xdr:col>
      <xdr:colOff>228600</xdr:colOff>
      <xdr:row>528</xdr:row>
      <xdr:rowOff>38100</xdr:rowOff>
    </xdr:from>
    <xdr:ext cx="1832489" cy="4112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 txBox="1"/>
          </xdr:nvSpPr>
          <xdr:spPr>
            <a:xfrm>
              <a:off x="2152650" y="96831150"/>
              <a:ext cx="1832489" cy="4112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𝐹</m:t>
                    </m:r>
                    <m:r>
                      <a:rPr lang="es-MX" sz="1300" b="0" i="1" baseline="-25000">
                        <a:latin typeface="Cambria Math" panose="02040503050406030204" pitchFamily="18" charset="0"/>
                      </a:rPr>
                      <m:t>𝑖𝑥</m:t>
                    </m:r>
                    <m:r>
                      <a:rPr lang="es-MX" sz="1300" b="0" i="1" baseline="30000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𝑀𝑡𝑥𝑖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𝐾</m:t>
                        </m:r>
                        <m:r>
                          <a:rPr lang="es-MX" sz="1300" b="0" i="1" baseline="-25000">
                            <a:latin typeface="Cambria Math" panose="02040503050406030204" pitchFamily="18" charset="0"/>
                          </a:rPr>
                          <m:t>𝑖𝑥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𝑌𝑖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𝑌𝐶𝑅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𝐽</m:t>
                        </m:r>
                      </m:den>
                    </m:f>
                  </m:oMath>
                </m:oMathPara>
              </a14:m>
              <a:endParaRPr lang="en-US" sz="1300"/>
            </a:p>
          </xdr:txBody>
        </xdr:sp>
      </mc:Choice>
      <mc:Fallback xmlns="">
        <xdr:sp macro="" textlink="">
          <xdr:nvSpPr>
            <xdr:cNvPr id="26" name="CuadroTexto 25"/>
            <xdr:cNvSpPr txBox="1"/>
          </xdr:nvSpPr>
          <xdr:spPr>
            <a:xfrm>
              <a:off x="2152650" y="96831150"/>
              <a:ext cx="1832489" cy="4112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𝐹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𝑖𝑥</a:t>
              </a:r>
              <a:r>
                <a:rPr lang="es-MX" sz="1300" b="0" i="0" baseline="30000">
                  <a:latin typeface="Cambria Math" panose="02040503050406030204" pitchFamily="18" charset="0"/>
                </a:rPr>
                <a:t>𝑇</a:t>
              </a:r>
              <a:r>
                <a:rPr lang="es-MX" sz="1300" b="0" i="0">
                  <a:latin typeface="Cambria Math" panose="02040503050406030204" pitchFamily="18" charset="0"/>
                </a:rPr>
                <a:t>=𝑀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𝑡𝑥𝑖</a:t>
              </a:r>
              <a:r>
                <a:rPr lang="es-MX" sz="1300" b="0" i="0">
                  <a:latin typeface="Cambria Math" panose="02040503050406030204" pitchFamily="18" charset="0"/>
                </a:rPr>
                <a:t> (𝐾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𝑖𝑥</a:t>
              </a:r>
              <a:r>
                <a:rPr lang="es-MX" sz="1300" b="0" i="0">
                  <a:latin typeface="Cambria Math" panose="02040503050406030204" pitchFamily="18" charset="0"/>
                </a:rPr>
                <a:t>(𝑌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𝑖</a:t>
              </a:r>
              <a:r>
                <a:rPr lang="es-MX" sz="1300" b="0" i="0">
                  <a:latin typeface="Cambria Math" panose="02040503050406030204" pitchFamily="18" charset="0"/>
                </a:rPr>
                <a:t>−𝑌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𝐶𝑅</a:t>
              </a:r>
              <a:r>
                <a:rPr lang="es-MX" sz="1300" b="0" i="0">
                  <a:latin typeface="Cambria Math" panose="02040503050406030204" pitchFamily="18" charset="0"/>
                </a:rPr>
                <a:t>))/𝐽</a:t>
              </a:r>
              <a:endParaRPr lang="en-US" sz="1300"/>
            </a:p>
          </xdr:txBody>
        </xdr:sp>
      </mc:Fallback>
    </mc:AlternateContent>
    <xdr:clientData/>
  </xdr:oneCellAnchor>
  <xdr:oneCellAnchor>
    <xdr:from>
      <xdr:col>2</xdr:col>
      <xdr:colOff>209550</xdr:colOff>
      <xdr:row>531</xdr:row>
      <xdr:rowOff>57150</xdr:rowOff>
    </xdr:from>
    <xdr:ext cx="1846531" cy="4112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CuadroTexto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 txBox="1"/>
          </xdr:nvSpPr>
          <xdr:spPr>
            <a:xfrm>
              <a:off x="2133600" y="97393125"/>
              <a:ext cx="1846531" cy="4112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𝐹</m:t>
                    </m:r>
                    <m:r>
                      <a:rPr lang="es-MX" sz="1300" b="0" i="1" baseline="-25000">
                        <a:latin typeface="Cambria Math" panose="02040503050406030204" pitchFamily="18" charset="0"/>
                      </a:rPr>
                      <m:t>𝑖𝑦</m:t>
                    </m:r>
                    <m:r>
                      <a:rPr lang="es-MX" sz="1300" b="0" i="1" baseline="30000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𝑀𝑡𝑦𝑖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𝐾</m:t>
                        </m:r>
                        <m:r>
                          <a:rPr lang="es-MX" sz="1300" b="0" i="1" baseline="-25000">
                            <a:latin typeface="Cambria Math" panose="02040503050406030204" pitchFamily="18" charset="0"/>
                          </a:rPr>
                          <m:t>𝑖𝑦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𝑋𝑖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𝑌𝐶𝑅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𝐽</m:t>
                        </m:r>
                      </m:den>
                    </m:f>
                  </m:oMath>
                </m:oMathPara>
              </a14:m>
              <a:endParaRPr lang="en-US" sz="1300"/>
            </a:p>
          </xdr:txBody>
        </xdr:sp>
      </mc:Choice>
      <mc:Fallback xmlns="">
        <xdr:sp macro="" textlink="">
          <xdr:nvSpPr>
            <xdr:cNvPr id="28" name="CuadroTexto 27"/>
            <xdr:cNvSpPr txBox="1"/>
          </xdr:nvSpPr>
          <xdr:spPr>
            <a:xfrm>
              <a:off x="2133600" y="97393125"/>
              <a:ext cx="1846531" cy="4112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𝐹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𝑖𝑦</a:t>
              </a:r>
              <a:r>
                <a:rPr lang="es-MX" sz="1300" b="0" i="0" baseline="30000">
                  <a:latin typeface="Cambria Math" panose="02040503050406030204" pitchFamily="18" charset="0"/>
                </a:rPr>
                <a:t>𝑇</a:t>
              </a:r>
              <a:r>
                <a:rPr lang="es-MX" sz="1300" b="0" i="0">
                  <a:latin typeface="Cambria Math" panose="02040503050406030204" pitchFamily="18" charset="0"/>
                </a:rPr>
                <a:t>=𝑀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𝑡𝑦𝑖</a:t>
              </a:r>
              <a:r>
                <a:rPr lang="es-MX" sz="1300" b="0" i="0">
                  <a:latin typeface="Cambria Math" panose="02040503050406030204" pitchFamily="18" charset="0"/>
                </a:rPr>
                <a:t> (𝐾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𝑖𝑦</a:t>
              </a:r>
              <a:r>
                <a:rPr lang="es-MX" sz="1300" b="0" i="0">
                  <a:latin typeface="Cambria Math" panose="02040503050406030204" pitchFamily="18" charset="0"/>
                </a:rPr>
                <a:t>(𝑋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𝑖</a:t>
              </a:r>
              <a:r>
                <a:rPr lang="es-MX" sz="1300" b="0" i="0">
                  <a:latin typeface="Cambria Math" panose="02040503050406030204" pitchFamily="18" charset="0"/>
                </a:rPr>
                <a:t>−𝑌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𝐶𝑅</a:t>
              </a:r>
              <a:r>
                <a:rPr lang="es-MX" sz="1300" b="0" i="0">
                  <a:latin typeface="Cambria Math" panose="02040503050406030204" pitchFamily="18" charset="0"/>
                </a:rPr>
                <a:t>))/𝐽</a:t>
              </a:r>
              <a:endParaRPr lang="en-US" sz="1300"/>
            </a:p>
          </xdr:txBody>
        </xdr:sp>
      </mc:Fallback>
    </mc:AlternateContent>
    <xdr:clientData/>
  </xdr:oneCellAnchor>
  <xdr:oneCellAnchor>
    <xdr:from>
      <xdr:col>2</xdr:col>
      <xdr:colOff>314325</xdr:colOff>
      <xdr:row>537</xdr:row>
      <xdr:rowOff>161925</xdr:rowOff>
    </xdr:from>
    <xdr:ext cx="1821781" cy="2084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 txBox="1"/>
          </xdr:nvSpPr>
          <xdr:spPr>
            <a:xfrm>
              <a:off x="2238375" y="98583750"/>
              <a:ext cx="1821781" cy="2084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𝑉</m:t>
                    </m:r>
                    <m:r>
                      <a:rPr lang="es-MX" sz="1300" b="0" i="1" baseline="-25000">
                        <a:latin typeface="Cambria Math" panose="02040503050406030204" pitchFamily="18" charset="0"/>
                      </a:rPr>
                      <m:t>𝑖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𝑉𝑡𝑟𝑎𝑠𝑙𝑎𝑐𝑖</m:t>
                    </m:r>
                    <m:r>
                      <a:rPr lang="es-MX" sz="1300" b="0" i="1" baseline="-25000">
                        <a:latin typeface="Cambria Math" panose="02040503050406030204" pitchFamily="18" charset="0"/>
                      </a:rPr>
                      <m:t>ó</m:t>
                    </m:r>
                    <m:r>
                      <a:rPr lang="es-MX" sz="1300" b="0" i="1" baseline="-25000">
                        <a:latin typeface="Cambria Math" panose="02040503050406030204" pitchFamily="18" charset="0"/>
                      </a:rPr>
                      <m:t>𝑛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𝑉𝑡𝑜𝑟𝑠𝑖</m:t>
                    </m:r>
                    <m:r>
                      <a:rPr lang="es-MX" sz="1300" b="0" i="1" baseline="-2500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ó</m:t>
                    </m:r>
                    <m:r>
                      <a:rPr lang="es-MX" sz="1300" b="0" i="1" baseline="-2500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𝑛</m:t>
                    </m:r>
                  </m:oMath>
                </m:oMathPara>
              </a14:m>
              <a:endParaRPr lang="en-US" sz="1300" baseline="-25000"/>
            </a:p>
          </xdr:txBody>
        </xdr:sp>
      </mc:Choice>
      <mc:Fallback xmlns="">
        <xdr:sp macro="" textlink="">
          <xdr:nvSpPr>
            <xdr:cNvPr id="27" name="CuadroTexto 26"/>
            <xdr:cNvSpPr txBox="1"/>
          </xdr:nvSpPr>
          <xdr:spPr>
            <a:xfrm>
              <a:off x="2238375" y="98583750"/>
              <a:ext cx="1821781" cy="2084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𝑉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𝑖</a:t>
              </a:r>
              <a:r>
                <a:rPr lang="es-MX" sz="1300" b="0" i="0">
                  <a:latin typeface="Cambria Math" panose="02040503050406030204" pitchFamily="18" charset="0"/>
                </a:rPr>
                <a:t>=𝑉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𝑡𝑟𝑎𝑠𝑙𝑎𝑐𝑖ó𝑛</a:t>
              </a:r>
              <a:r>
                <a:rPr lang="es-MX" sz="1300" b="0" i="0">
                  <a:latin typeface="Cambria Math" panose="02040503050406030204" pitchFamily="18" charset="0"/>
                </a:rPr>
                <a:t>+</a:t>
              </a:r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∆𝑉</a:t>
              </a:r>
              <a:r>
                <a:rPr lang="es-MX" sz="13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𝑡𝑜𝑟𝑠𝑖ó𝑛</a:t>
              </a:r>
              <a:endParaRPr lang="en-US" sz="1300" baseline="-25000"/>
            </a:p>
          </xdr:txBody>
        </xdr:sp>
      </mc:Fallback>
    </mc:AlternateContent>
    <xdr:clientData/>
  </xdr:oneCellAnchor>
  <xdr:twoCellAnchor editAs="oneCell">
    <xdr:from>
      <xdr:col>1</xdr:col>
      <xdr:colOff>512680</xdr:colOff>
      <xdr:row>539</xdr:row>
      <xdr:rowOff>47625</xdr:rowOff>
    </xdr:from>
    <xdr:to>
      <xdr:col>3</xdr:col>
      <xdr:colOff>1534379</xdr:colOff>
      <xdr:row>550</xdr:row>
      <xdr:rowOff>19521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22305" y="98831400"/>
          <a:ext cx="3564874" cy="1962621"/>
        </a:xfrm>
        <a:prstGeom prst="rect">
          <a:avLst/>
        </a:prstGeom>
      </xdr:spPr>
    </xdr:pic>
    <xdr:clientData/>
  </xdr:twoCellAnchor>
  <xdr:oneCellAnchor>
    <xdr:from>
      <xdr:col>2</xdr:col>
      <xdr:colOff>632460</xdr:colOff>
      <xdr:row>591</xdr:row>
      <xdr:rowOff>129540</xdr:rowOff>
    </xdr:from>
    <xdr:ext cx="1653539" cy="2830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  <a:ext uri="{147F2762-F138-4A5C-976F-8EAC2B608ADB}">
                  <a16:predDERef xmlns:a16="http://schemas.microsoft.com/office/drawing/2014/main" pred="{00000000-0008-0000-0000-00000E000000}"/>
                </a:ext>
              </a:extLst>
            </xdr:cNvPr>
            <xdr:cNvSpPr txBox="1"/>
          </xdr:nvSpPr>
          <xdr:spPr>
            <a:xfrm>
              <a:off x="2369820" y="108645960"/>
              <a:ext cx="1653539" cy="2830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s-MX" sz="1300" b="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𝐽</m:t>
                  </m:r>
                  <m:r>
                    <a:rPr lang="es-MX" sz="1300" b="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nary>
                    <m:naryPr>
                      <m:chr m:val="∑"/>
                      <m:subHide m:val="on"/>
                      <m:supHide m:val="on"/>
                      <m:ctrlPr>
                        <a:rPr lang="en-US" sz="13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naryPr>
                    <m:sub/>
                    <m:sup/>
                    <m:e>
                      <m:f>
                        <m:fPr>
                          <m:ctrlPr>
                            <a:rPr lang="en-US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s-MX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𝐾</m:t>
                          </m:r>
                          <m:r>
                            <a:rPr lang="es-MX" sz="1300" i="1" baseline="-25000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𝑌</m:t>
                          </m:r>
                        </m:num>
                        <m:den>
                          <m:r>
                            <a:rPr lang="es-MX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𝐸</m:t>
                          </m:r>
                        </m:den>
                      </m:f>
                      <m:bar>
                        <m:barPr>
                          <m:pos m:val="top"/>
                          <m:ctrlPr>
                            <a:rPr lang="en-US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barPr>
                        <m:e>
                          <m:r>
                            <a:rPr lang="es-MX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𝑋</m:t>
                          </m:r>
                        </m:e>
                      </m:bar>
                      <m:r>
                        <a:rPr lang="es-MX" sz="1300" i="1" baseline="3000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e>
                  </m:nary>
                  <m:r>
                    <a:rPr lang="en-US" sz="130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nary>
                    <m:naryPr>
                      <m:chr m:val="∑"/>
                      <m:subHide m:val="on"/>
                      <m:supHide m:val="on"/>
                      <m:ctrlPr>
                        <a:rPr lang="en-US" sz="13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naryPr>
                    <m:sub/>
                    <m:sup/>
                    <m:e>
                      <m:f>
                        <m:fPr>
                          <m:ctrlPr>
                            <a:rPr lang="en-US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s-MX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𝐾</m:t>
                          </m:r>
                          <m:r>
                            <a:rPr lang="es-MX" sz="1300" b="0" i="1" baseline="-25000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𝑋</m:t>
                          </m:r>
                        </m:num>
                        <m:den>
                          <m:r>
                            <a:rPr lang="es-MX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𝐸</m:t>
                          </m:r>
                        </m:den>
                      </m:f>
                      <m:bar>
                        <m:barPr>
                          <m:pos m:val="top"/>
                          <m:ctrlPr>
                            <a:rPr lang="en-US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barPr>
                        <m:e>
                          <m:r>
                            <a:rPr lang="es-MX" sz="1300" b="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𝑌</m:t>
                          </m:r>
                        </m:e>
                      </m:bar>
                      <m:r>
                        <a:rPr lang="es-PE" sz="1300" b="0" i="1" baseline="3000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e>
                  </m:nary>
                </m:oMath>
              </a14:m>
              <a:r>
                <a:rPr lang="en-US" sz="1300" i="1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</a:p>
          </xdr:txBody>
        </xdr:sp>
      </mc:Choice>
      <mc:Fallback xmlns="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957CE298-C78B-4B5A-9FE9-326BB5571520}"/>
                </a:ext>
                <a:ext uri="{147F2762-F138-4A5C-976F-8EAC2B608ADB}">
                  <a16:predDERef xmlns:a16="http://schemas.microsoft.com/office/drawing/2014/main" pred="{00000000-0008-0000-0000-00000E000000}"/>
                </a:ext>
              </a:extLst>
            </xdr:cNvPr>
            <xdr:cNvSpPr txBox="1"/>
          </xdr:nvSpPr>
          <xdr:spPr>
            <a:xfrm>
              <a:off x="2369820" y="108645960"/>
              <a:ext cx="1653539" cy="2830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3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𝐽=</a:t>
              </a:r>
              <a:r>
                <a:rPr lang="en-US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n-US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𝐾</a:t>
              </a:r>
              <a:r>
                <a:rPr lang="es-MX" sz="130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𝑌</a:t>
              </a:r>
              <a:r>
                <a:rPr lang="en-US" sz="130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en-US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¯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𝑋</a:t>
              </a:r>
              <a:r>
                <a:rPr lang="es-MX" sz="130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2</a:t>
              </a:r>
              <a:r>
                <a:rPr lang="en-US" sz="130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n-US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+∑</a:t>
              </a:r>
              <a:r>
                <a:rPr lang="es-MX" sz="13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n-US" sz="13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𝐾</a:t>
              </a:r>
              <a:r>
                <a:rPr lang="es-MX" sz="1300" b="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𝑋</a:t>
              </a:r>
              <a:r>
                <a:rPr lang="en-US" sz="1300" b="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en-US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¯</a:t>
              </a:r>
              <a:r>
                <a:rPr lang="es-MX" sz="13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𝑌</a:t>
              </a:r>
              <a:r>
                <a:rPr lang="es-PE" sz="1300" b="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2</a:t>
              </a:r>
              <a:r>
                <a:rPr lang="en-US" sz="1300" b="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n-US" sz="1300" i="1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</a:p>
          </xdr:txBody>
        </xdr:sp>
      </mc:Fallback>
    </mc:AlternateContent>
    <xdr:clientData/>
  </xdr:oneCellAnchor>
  <xdr:oneCellAnchor>
    <xdr:from>
      <xdr:col>2</xdr:col>
      <xdr:colOff>632460</xdr:colOff>
      <xdr:row>609</xdr:row>
      <xdr:rowOff>129540</xdr:rowOff>
    </xdr:from>
    <xdr:ext cx="1653539" cy="2830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  <a:ext uri="{147F2762-F138-4A5C-976F-8EAC2B608ADB}">
                  <a16:predDERef xmlns:a16="http://schemas.microsoft.com/office/drawing/2014/main" pred="{00000000-0008-0000-0000-00000E000000}"/>
                </a:ext>
              </a:extLst>
            </xdr:cNvPr>
            <xdr:cNvSpPr txBox="1"/>
          </xdr:nvSpPr>
          <xdr:spPr>
            <a:xfrm>
              <a:off x="2369820" y="108645960"/>
              <a:ext cx="1653539" cy="2830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s-MX" sz="1300" b="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𝐽</m:t>
                  </m:r>
                  <m:r>
                    <a:rPr lang="es-MX" sz="1300" b="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nary>
                    <m:naryPr>
                      <m:chr m:val="∑"/>
                      <m:subHide m:val="on"/>
                      <m:supHide m:val="on"/>
                      <m:ctrlPr>
                        <a:rPr lang="en-US" sz="13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naryPr>
                    <m:sub/>
                    <m:sup/>
                    <m:e>
                      <m:f>
                        <m:fPr>
                          <m:ctrlPr>
                            <a:rPr lang="en-US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s-MX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𝐾</m:t>
                          </m:r>
                          <m:r>
                            <a:rPr lang="es-MX" sz="1300" i="1" baseline="-25000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𝑌</m:t>
                          </m:r>
                        </m:num>
                        <m:den>
                          <m:r>
                            <a:rPr lang="es-MX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𝐸</m:t>
                          </m:r>
                        </m:den>
                      </m:f>
                      <m:bar>
                        <m:barPr>
                          <m:pos m:val="top"/>
                          <m:ctrlPr>
                            <a:rPr lang="en-US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barPr>
                        <m:e>
                          <m:r>
                            <a:rPr lang="es-MX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𝑋</m:t>
                          </m:r>
                        </m:e>
                      </m:bar>
                      <m:r>
                        <a:rPr lang="es-MX" sz="1300" i="1" baseline="3000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e>
                  </m:nary>
                  <m:r>
                    <a:rPr lang="en-US" sz="130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nary>
                    <m:naryPr>
                      <m:chr m:val="∑"/>
                      <m:subHide m:val="on"/>
                      <m:supHide m:val="on"/>
                      <m:ctrlPr>
                        <a:rPr lang="en-US" sz="13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naryPr>
                    <m:sub/>
                    <m:sup/>
                    <m:e>
                      <m:f>
                        <m:fPr>
                          <m:ctrlPr>
                            <a:rPr lang="en-US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s-MX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𝐾</m:t>
                          </m:r>
                          <m:r>
                            <a:rPr lang="es-MX" sz="1300" b="0" i="1" baseline="-25000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𝑋</m:t>
                          </m:r>
                        </m:num>
                        <m:den>
                          <m:r>
                            <a:rPr lang="es-MX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𝐸</m:t>
                          </m:r>
                        </m:den>
                      </m:f>
                      <m:bar>
                        <m:barPr>
                          <m:pos m:val="top"/>
                          <m:ctrlPr>
                            <a:rPr lang="en-US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barPr>
                        <m:e>
                          <m:r>
                            <a:rPr lang="es-MX" sz="1300" b="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𝑌</m:t>
                          </m:r>
                        </m:e>
                      </m:bar>
                      <m:r>
                        <a:rPr lang="es-PE" sz="1300" b="0" i="1" baseline="3000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e>
                  </m:nary>
                </m:oMath>
              </a14:m>
              <a:r>
                <a:rPr lang="en-US" sz="1300" i="1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</a:p>
          </xdr:txBody>
        </xdr:sp>
      </mc:Choice>
      <mc:Fallback xmlns="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2EE46012-C0C1-4A14-AEE0-491C92C95F8C}"/>
                </a:ext>
                <a:ext uri="{147F2762-F138-4A5C-976F-8EAC2B608ADB}">
                  <a16:predDERef xmlns:a16="http://schemas.microsoft.com/office/drawing/2014/main" pred="{00000000-0008-0000-0000-00000E000000}"/>
                </a:ext>
              </a:extLst>
            </xdr:cNvPr>
            <xdr:cNvSpPr txBox="1"/>
          </xdr:nvSpPr>
          <xdr:spPr>
            <a:xfrm>
              <a:off x="2369820" y="108645960"/>
              <a:ext cx="1653539" cy="2830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3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𝐽=</a:t>
              </a:r>
              <a:r>
                <a:rPr lang="en-US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n-US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𝐾</a:t>
              </a:r>
              <a:r>
                <a:rPr lang="es-MX" sz="130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𝑌</a:t>
              </a:r>
              <a:r>
                <a:rPr lang="en-US" sz="130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en-US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¯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𝑋</a:t>
              </a:r>
              <a:r>
                <a:rPr lang="es-MX" sz="130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2</a:t>
              </a:r>
              <a:r>
                <a:rPr lang="en-US" sz="130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n-US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+∑</a:t>
              </a:r>
              <a:r>
                <a:rPr lang="es-MX" sz="13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n-US" sz="13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𝐾</a:t>
              </a:r>
              <a:r>
                <a:rPr lang="es-MX" sz="1300" b="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𝑋</a:t>
              </a:r>
              <a:r>
                <a:rPr lang="en-US" sz="1300" b="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en-US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¯</a:t>
              </a:r>
              <a:r>
                <a:rPr lang="es-MX" sz="13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𝑌</a:t>
              </a:r>
              <a:r>
                <a:rPr lang="es-PE" sz="1300" b="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2</a:t>
              </a:r>
              <a:r>
                <a:rPr lang="en-US" sz="1300" b="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n-US" sz="1300" i="1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</a:p>
          </xdr:txBody>
        </xdr:sp>
      </mc:Fallback>
    </mc:AlternateContent>
    <xdr:clientData/>
  </xdr:oneCellAnchor>
  <xdr:twoCellAnchor>
    <xdr:from>
      <xdr:col>2</xdr:col>
      <xdr:colOff>685799</xdr:colOff>
      <xdr:row>673</xdr:row>
      <xdr:rowOff>9524</xdr:rowOff>
    </xdr:from>
    <xdr:to>
      <xdr:col>6</xdr:col>
      <xdr:colOff>571499</xdr:colOff>
      <xdr:row>683</xdr:row>
      <xdr:rowOff>19049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609849" y="123082049"/>
          <a:ext cx="4657725" cy="1819275"/>
        </a:xfrm>
        <a:prstGeom prst="roundRect">
          <a:avLst/>
        </a:prstGeom>
        <a:blipFill>
          <a:blip xmlns:r="http://schemas.openxmlformats.org/officeDocument/2006/relationships" r:embed="rId10"/>
          <a:tile tx="0" ty="0" sx="100000" sy="100000" flip="none" algn="tl"/>
        </a:blip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  <a:latin typeface="Trebuchet MS" panose="020B0603020202020204" pitchFamily="34" charset="0"/>
            </a:rPr>
            <a:t>CÁLCULO DE</a:t>
          </a:r>
          <a:r>
            <a:rPr lang="en-US" sz="3200" baseline="0">
              <a:solidFill>
                <a:sysClr val="windowText" lastClr="000000"/>
              </a:solidFill>
              <a:latin typeface="Trebuchet MS" panose="020B0603020202020204" pitchFamily="34" charset="0"/>
            </a:rPr>
            <a:t> </a:t>
          </a:r>
          <a:r>
            <a:rPr lang="en-US" sz="3200">
              <a:solidFill>
                <a:sysClr val="windowText" lastClr="000000"/>
              </a:solidFill>
              <a:latin typeface="Trebuchet MS" panose="020B0603020202020204" pitchFamily="34" charset="0"/>
            </a:rPr>
            <a:t>ESFUERZO DE COMPRESIÓN POR CARGA MUERTA</a:t>
          </a:r>
        </a:p>
      </xdr:txBody>
    </xdr:sp>
    <xdr:clientData/>
  </xdr:twoCellAnchor>
  <xdr:twoCellAnchor>
    <xdr:from>
      <xdr:col>2</xdr:col>
      <xdr:colOff>333375</xdr:colOff>
      <xdr:row>765</xdr:row>
      <xdr:rowOff>57150</xdr:rowOff>
    </xdr:from>
    <xdr:to>
      <xdr:col>6</xdr:col>
      <xdr:colOff>219075</xdr:colOff>
      <xdr:row>775</xdr:row>
      <xdr:rowOff>66675</xdr:rowOff>
    </xdr:to>
    <xdr:sp macro="" textlink="">
      <xdr:nvSpPr>
        <xdr:cNvPr id="31" name="Rectángulo redondead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2257425" y="139865100"/>
          <a:ext cx="7800975" cy="1819275"/>
        </a:xfrm>
        <a:prstGeom prst="roundRect">
          <a:avLst/>
        </a:prstGeom>
        <a:blipFill>
          <a:blip xmlns:r="http://schemas.openxmlformats.org/officeDocument/2006/relationships" r:embed="rId10"/>
          <a:tile tx="0" ty="0" sx="100000" sy="100000" flip="none" algn="tl"/>
        </a:blip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  <a:latin typeface="Trebuchet MS" panose="020B0603020202020204" pitchFamily="34" charset="0"/>
            </a:rPr>
            <a:t>CHEQUEO</a:t>
          </a:r>
          <a:r>
            <a:rPr lang="en-US" sz="3200" baseline="0">
              <a:solidFill>
                <a:sysClr val="windowText" lastClr="000000"/>
              </a:solidFill>
              <a:latin typeface="Trebuchet MS" panose="020B0603020202020204" pitchFamily="34" charset="0"/>
            </a:rPr>
            <a:t> AL CORTE</a:t>
          </a:r>
        </a:p>
      </xdr:txBody>
    </xdr:sp>
    <xdr:clientData/>
  </xdr:twoCellAnchor>
  <xdr:twoCellAnchor editAs="oneCell">
    <xdr:from>
      <xdr:col>0</xdr:col>
      <xdr:colOff>800100</xdr:colOff>
      <xdr:row>865</xdr:row>
      <xdr:rowOff>9525</xdr:rowOff>
    </xdr:from>
    <xdr:to>
      <xdr:col>2</xdr:col>
      <xdr:colOff>150</xdr:colOff>
      <xdr:row>888</xdr:row>
      <xdr:rowOff>95843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0100" y="157953075"/>
          <a:ext cx="1076475" cy="4248743"/>
        </a:xfrm>
        <a:prstGeom prst="rect">
          <a:avLst/>
        </a:prstGeom>
      </xdr:spPr>
    </xdr:pic>
    <xdr:clientData/>
  </xdr:twoCellAnchor>
  <xdr:oneCellAnchor>
    <xdr:from>
      <xdr:col>0</xdr:col>
      <xdr:colOff>176212</xdr:colOff>
      <xdr:row>897</xdr:row>
      <xdr:rowOff>90487</xdr:rowOff>
    </xdr:from>
    <xdr:ext cx="971228" cy="4598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176212" y="163853812"/>
              <a:ext cx="971228" cy="4598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𝐴𝑐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0.9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𝑣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3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p>
                                <m: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sup>
                            </m:sSup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e>
                        </m:rad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176212" y="163853812"/>
              <a:ext cx="971228" cy="4598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𝐴𝑐=0.9𝑣/√(𝑓^′ 𝑐)=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314325</xdr:colOff>
      <xdr:row>902</xdr:row>
      <xdr:rowOff>85725</xdr:rowOff>
    </xdr:from>
    <xdr:ext cx="1080617" cy="3732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 txBox="1"/>
          </xdr:nvSpPr>
          <xdr:spPr>
            <a:xfrm>
              <a:off x="314325" y="164753925"/>
              <a:ext cx="1080617" cy="373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𝑇𝑠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𝑉𝑚𝐿𝑚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𝐿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32" name="CuadroTexto 31"/>
            <xdr:cNvSpPr txBox="1"/>
          </xdr:nvSpPr>
          <xdr:spPr>
            <a:xfrm>
              <a:off x="314325" y="164753925"/>
              <a:ext cx="1080617" cy="373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𝑇𝑠=𝑉𝑚𝐿𝑚/2𝐿=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285750</xdr:colOff>
      <xdr:row>907</xdr:row>
      <xdr:rowOff>104775</xdr:rowOff>
    </xdr:from>
    <xdr:ext cx="913263" cy="4096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 txBox="1"/>
          </xdr:nvSpPr>
          <xdr:spPr>
            <a:xfrm>
              <a:off x="285750" y="165677850"/>
              <a:ext cx="913263" cy="4096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𝐴𝑠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𝑇𝑠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𝜙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𝑓𝑦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33" name="CuadroTexto 32"/>
            <xdr:cNvSpPr txBox="1"/>
          </xdr:nvSpPr>
          <xdr:spPr>
            <a:xfrm>
              <a:off x="285750" y="165677850"/>
              <a:ext cx="913263" cy="4096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𝐴𝑠=𝑇𝑠/𝜙𝑓𝑦=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314325</xdr:colOff>
      <xdr:row>907</xdr:row>
      <xdr:rowOff>57150</xdr:rowOff>
    </xdr:from>
    <xdr:ext cx="1214563" cy="4225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 txBox="1"/>
          </xdr:nvSpPr>
          <xdr:spPr>
            <a:xfrm>
              <a:off x="2238375" y="165630225"/>
              <a:ext cx="1214563" cy="4225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≥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0.1</m:t>
                        </m:r>
                        <m:sSup>
                          <m:sSupPr>
                            <m:ctrlPr>
                              <a:rPr lang="es-MX" sz="13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p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′</m:t>
                            </m:r>
                          </m:sup>
                        </m:sSup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𝑐𝐴𝑐𝑠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𝑓𝑦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34" name="CuadroTexto 33"/>
            <xdr:cNvSpPr txBox="1"/>
          </xdr:nvSpPr>
          <xdr:spPr>
            <a:xfrm>
              <a:off x="2238375" y="165630225"/>
              <a:ext cx="1214563" cy="4225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≥</a:t>
              </a:r>
              <a:r>
                <a:rPr lang="es-MX" sz="1300" b="0" i="0">
                  <a:latin typeface="Cambria Math" panose="02040503050406030204" pitchFamily="18" charset="0"/>
                </a:rPr>
                <a:t>=(0.1𝑓^′ 𝑐𝐴𝑐𝑠)/𝑓𝑦=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twoCellAnchor editAs="oneCell">
    <xdr:from>
      <xdr:col>1</xdr:col>
      <xdr:colOff>219075</xdr:colOff>
      <xdr:row>917</xdr:row>
      <xdr:rowOff>133350</xdr:rowOff>
    </xdr:from>
    <xdr:to>
      <xdr:col>2</xdr:col>
      <xdr:colOff>828916</xdr:colOff>
      <xdr:row>924</xdr:row>
      <xdr:rowOff>162106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28700" y="167516175"/>
          <a:ext cx="1724266" cy="1295581"/>
        </a:xfrm>
        <a:prstGeom prst="rect">
          <a:avLst/>
        </a:prstGeom>
      </xdr:spPr>
    </xdr:pic>
    <xdr:clientData/>
  </xdr:twoCellAnchor>
  <xdr:oneCellAnchor>
    <xdr:from>
      <xdr:col>0</xdr:col>
      <xdr:colOff>176212</xdr:colOff>
      <xdr:row>929</xdr:row>
      <xdr:rowOff>90487</xdr:rowOff>
    </xdr:from>
    <xdr:ext cx="971228" cy="4598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176212" y="163853812"/>
              <a:ext cx="971228" cy="4598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𝐴𝑐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0.9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𝑣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3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p>
                                <m: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sup>
                            </m:sSup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e>
                        </m:rad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35" name="CuadroTexto 34"/>
            <xdr:cNvSpPr txBox="1"/>
          </xdr:nvSpPr>
          <xdr:spPr>
            <a:xfrm>
              <a:off x="176212" y="163853812"/>
              <a:ext cx="971228" cy="4598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𝐴𝑐=0.9𝑣/√(𝑓^′ 𝑐)=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314325</xdr:colOff>
      <xdr:row>934</xdr:row>
      <xdr:rowOff>85725</xdr:rowOff>
    </xdr:from>
    <xdr:ext cx="1080617" cy="3732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 txBox="1"/>
          </xdr:nvSpPr>
          <xdr:spPr>
            <a:xfrm>
              <a:off x="314325" y="164753925"/>
              <a:ext cx="1080617" cy="373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𝑇𝑠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𝑉𝑚𝐿𝑚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𝐿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36" name="CuadroTexto 35"/>
            <xdr:cNvSpPr txBox="1"/>
          </xdr:nvSpPr>
          <xdr:spPr>
            <a:xfrm>
              <a:off x="314325" y="164753925"/>
              <a:ext cx="1080617" cy="373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𝑇𝑠=𝑉𝑚𝐿𝑚/2𝐿=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285750</xdr:colOff>
      <xdr:row>939</xdr:row>
      <xdr:rowOff>104775</xdr:rowOff>
    </xdr:from>
    <xdr:ext cx="913263" cy="4096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 txBox="1"/>
          </xdr:nvSpPr>
          <xdr:spPr>
            <a:xfrm>
              <a:off x="285750" y="165677850"/>
              <a:ext cx="913263" cy="4096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𝐴𝑠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𝑇𝑠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𝜙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𝑓𝑦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37" name="CuadroTexto 36"/>
            <xdr:cNvSpPr txBox="1"/>
          </xdr:nvSpPr>
          <xdr:spPr>
            <a:xfrm>
              <a:off x="285750" y="165677850"/>
              <a:ext cx="913263" cy="4096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𝐴𝑠=𝑇𝑠/𝜙𝑓𝑦=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314325</xdr:colOff>
      <xdr:row>939</xdr:row>
      <xdr:rowOff>57150</xdr:rowOff>
    </xdr:from>
    <xdr:ext cx="1214563" cy="4225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 txBox="1"/>
          </xdr:nvSpPr>
          <xdr:spPr>
            <a:xfrm>
              <a:off x="2238375" y="165630225"/>
              <a:ext cx="1214563" cy="4225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≥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0.1</m:t>
                        </m:r>
                        <m:sSup>
                          <m:sSupPr>
                            <m:ctrlPr>
                              <a:rPr lang="es-MX" sz="13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p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′</m:t>
                            </m:r>
                          </m:sup>
                        </m:sSup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𝑐𝐴𝑐𝑠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𝑓𝑦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38" name="CuadroTexto 37"/>
            <xdr:cNvSpPr txBox="1"/>
          </xdr:nvSpPr>
          <xdr:spPr>
            <a:xfrm>
              <a:off x="2238375" y="165630225"/>
              <a:ext cx="1214563" cy="4225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≥</a:t>
              </a:r>
              <a:r>
                <a:rPr lang="es-MX" sz="1300" b="0" i="0">
                  <a:latin typeface="Cambria Math" panose="02040503050406030204" pitchFamily="18" charset="0"/>
                </a:rPr>
                <a:t>=(0.1𝑓^′ 𝑐𝐴𝑐𝑠)/𝑓𝑦=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176212</xdr:colOff>
      <xdr:row>929</xdr:row>
      <xdr:rowOff>90487</xdr:rowOff>
    </xdr:from>
    <xdr:ext cx="971228" cy="4598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 txBox="1"/>
          </xdr:nvSpPr>
          <xdr:spPr>
            <a:xfrm>
              <a:off x="176212" y="163853812"/>
              <a:ext cx="971228" cy="4598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𝐴𝑐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0.9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𝑣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3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p>
                                <m: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sup>
                            </m:sSup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e>
                        </m:rad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39" name="CuadroTexto 38"/>
            <xdr:cNvSpPr txBox="1"/>
          </xdr:nvSpPr>
          <xdr:spPr>
            <a:xfrm>
              <a:off x="176212" y="163853812"/>
              <a:ext cx="971228" cy="4598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𝐴𝑐=0.9𝑣/√(𝑓^′ 𝑐)=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314325</xdr:colOff>
      <xdr:row>934</xdr:row>
      <xdr:rowOff>85725</xdr:rowOff>
    </xdr:from>
    <xdr:ext cx="1080617" cy="3732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 txBox="1"/>
          </xdr:nvSpPr>
          <xdr:spPr>
            <a:xfrm>
              <a:off x="314325" y="164753925"/>
              <a:ext cx="1080617" cy="373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𝑇𝑠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𝑉𝑚𝐿𝑚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𝐿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40" name="CuadroTexto 39"/>
            <xdr:cNvSpPr txBox="1"/>
          </xdr:nvSpPr>
          <xdr:spPr>
            <a:xfrm>
              <a:off x="314325" y="164753925"/>
              <a:ext cx="1080617" cy="373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𝑇𝑠=𝑉𝑚𝐿𝑚/2𝐿=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285750</xdr:colOff>
      <xdr:row>939</xdr:row>
      <xdr:rowOff>104775</xdr:rowOff>
    </xdr:from>
    <xdr:ext cx="913263" cy="4096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 txBox="1"/>
          </xdr:nvSpPr>
          <xdr:spPr>
            <a:xfrm>
              <a:off x="285750" y="165677850"/>
              <a:ext cx="913263" cy="4096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𝐴𝑠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𝑇𝑠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𝜙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𝑓𝑦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41" name="CuadroTexto 40"/>
            <xdr:cNvSpPr txBox="1"/>
          </xdr:nvSpPr>
          <xdr:spPr>
            <a:xfrm>
              <a:off x="285750" y="165677850"/>
              <a:ext cx="913263" cy="4096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𝐴𝑠=𝑇𝑠/𝜙𝑓𝑦=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314325</xdr:colOff>
      <xdr:row>939</xdr:row>
      <xdr:rowOff>57150</xdr:rowOff>
    </xdr:from>
    <xdr:ext cx="1214563" cy="4225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SpPr txBox="1"/>
          </xdr:nvSpPr>
          <xdr:spPr>
            <a:xfrm>
              <a:off x="2238375" y="165630225"/>
              <a:ext cx="1214563" cy="4225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≥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0.1</m:t>
                        </m:r>
                        <m:sSup>
                          <m:sSupPr>
                            <m:ctrlPr>
                              <a:rPr lang="es-MX" sz="13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p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′</m:t>
                            </m:r>
                          </m:sup>
                        </m:sSup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𝑐𝐴𝑐𝑠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𝑓𝑦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42" name="CuadroTexto 41"/>
            <xdr:cNvSpPr txBox="1"/>
          </xdr:nvSpPr>
          <xdr:spPr>
            <a:xfrm>
              <a:off x="2238375" y="165630225"/>
              <a:ext cx="1214563" cy="4225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≥</a:t>
              </a:r>
              <a:r>
                <a:rPr lang="es-MX" sz="1300" b="0" i="0">
                  <a:latin typeface="Cambria Math" panose="02040503050406030204" pitchFamily="18" charset="0"/>
                </a:rPr>
                <a:t>=(0.1𝑓^′ 𝑐𝐴𝑐𝑠)/𝑓𝑦=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twoCellAnchor editAs="oneCell">
    <xdr:from>
      <xdr:col>0</xdr:col>
      <xdr:colOff>676275</xdr:colOff>
      <xdr:row>949</xdr:row>
      <xdr:rowOff>47625</xdr:rowOff>
    </xdr:from>
    <xdr:to>
      <xdr:col>2</xdr:col>
      <xdr:colOff>476491</xdr:colOff>
      <xdr:row>956</xdr:row>
      <xdr:rowOff>76381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76275" y="173221650"/>
          <a:ext cx="1724266" cy="1295581"/>
        </a:xfrm>
        <a:prstGeom prst="rect">
          <a:avLst/>
        </a:prstGeom>
      </xdr:spPr>
    </xdr:pic>
    <xdr:clientData/>
  </xdr:twoCellAnchor>
  <xdr:oneCellAnchor>
    <xdr:from>
      <xdr:col>0</xdr:col>
      <xdr:colOff>176212</xdr:colOff>
      <xdr:row>960</xdr:row>
      <xdr:rowOff>90487</xdr:rowOff>
    </xdr:from>
    <xdr:ext cx="971228" cy="4598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 txBox="1"/>
          </xdr:nvSpPr>
          <xdr:spPr>
            <a:xfrm>
              <a:off x="176212" y="169645012"/>
              <a:ext cx="971228" cy="4598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𝐴𝑐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0.9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𝑣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3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p>
                                <m: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sup>
                            </m:sSup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e>
                        </m:rad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44" name="CuadroTexto 43"/>
            <xdr:cNvSpPr txBox="1"/>
          </xdr:nvSpPr>
          <xdr:spPr>
            <a:xfrm>
              <a:off x="176212" y="169645012"/>
              <a:ext cx="971228" cy="4598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𝐴𝑐=0.9𝑣/√(𝑓^′ 𝑐)=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314325</xdr:colOff>
      <xdr:row>965</xdr:row>
      <xdr:rowOff>85725</xdr:rowOff>
    </xdr:from>
    <xdr:ext cx="1080617" cy="3732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uadroTexto 44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SpPr txBox="1"/>
          </xdr:nvSpPr>
          <xdr:spPr>
            <a:xfrm>
              <a:off x="314325" y="170545125"/>
              <a:ext cx="1080617" cy="373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𝑇𝑠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𝑉𝑚𝐿𝑚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𝐿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45" name="CuadroTexto 44"/>
            <xdr:cNvSpPr txBox="1"/>
          </xdr:nvSpPr>
          <xdr:spPr>
            <a:xfrm>
              <a:off x="314325" y="170545125"/>
              <a:ext cx="1080617" cy="373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𝑇𝑠=𝑉𝑚𝐿𝑚/2𝐿=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285750</xdr:colOff>
      <xdr:row>970</xdr:row>
      <xdr:rowOff>104775</xdr:rowOff>
    </xdr:from>
    <xdr:ext cx="913263" cy="4096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 txBox="1"/>
          </xdr:nvSpPr>
          <xdr:spPr>
            <a:xfrm>
              <a:off x="285750" y="171469050"/>
              <a:ext cx="913263" cy="4096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𝐴𝑠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𝑇𝑠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𝜙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𝑓𝑦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46" name="CuadroTexto 45"/>
            <xdr:cNvSpPr txBox="1"/>
          </xdr:nvSpPr>
          <xdr:spPr>
            <a:xfrm>
              <a:off x="285750" y="171469050"/>
              <a:ext cx="913263" cy="4096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𝐴𝑠=𝑇𝑠/𝜙𝑓𝑦=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314325</xdr:colOff>
      <xdr:row>970</xdr:row>
      <xdr:rowOff>57150</xdr:rowOff>
    </xdr:from>
    <xdr:ext cx="1214563" cy="4225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 txBox="1"/>
          </xdr:nvSpPr>
          <xdr:spPr>
            <a:xfrm>
              <a:off x="2238375" y="171421425"/>
              <a:ext cx="1214563" cy="4225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≥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0.1</m:t>
                        </m:r>
                        <m:sSup>
                          <m:sSupPr>
                            <m:ctrlPr>
                              <a:rPr lang="es-MX" sz="13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p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′</m:t>
                            </m:r>
                          </m:sup>
                        </m:sSup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𝑐𝐴𝑐𝑠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𝑓𝑦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47" name="CuadroTexto 46"/>
            <xdr:cNvSpPr txBox="1"/>
          </xdr:nvSpPr>
          <xdr:spPr>
            <a:xfrm>
              <a:off x="2238375" y="171421425"/>
              <a:ext cx="1214563" cy="4225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≥</a:t>
              </a:r>
              <a:r>
                <a:rPr lang="es-MX" sz="1300" b="0" i="0">
                  <a:latin typeface="Cambria Math" panose="02040503050406030204" pitchFamily="18" charset="0"/>
                </a:rPr>
                <a:t>=(0.1𝑓^′ 𝑐𝐴𝑐𝑠)/𝑓𝑦=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176212</xdr:colOff>
      <xdr:row>960</xdr:row>
      <xdr:rowOff>90487</xdr:rowOff>
    </xdr:from>
    <xdr:ext cx="971228" cy="4598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 txBox="1"/>
          </xdr:nvSpPr>
          <xdr:spPr>
            <a:xfrm>
              <a:off x="176212" y="169645012"/>
              <a:ext cx="971228" cy="4598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𝐴𝑐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0.9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𝑣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3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p>
                                <m: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sup>
                            </m:sSup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e>
                        </m:rad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48" name="CuadroTexto 47"/>
            <xdr:cNvSpPr txBox="1"/>
          </xdr:nvSpPr>
          <xdr:spPr>
            <a:xfrm>
              <a:off x="176212" y="169645012"/>
              <a:ext cx="971228" cy="4598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𝐴𝑐=0.9𝑣/√(𝑓^′ 𝑐)=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314325</xdr:colOff>
      <xdr:row>965</xdr:row>
      <xdr:rowOff>85725</xdr:rowOff>
    </xdr:from>
    <xdr:ext cx="1080617" cy="3732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 txBox="1"/>
          </xdr:nvSpPr>
          <xdr:spPr>
            <a:xfrm>
              <a:off x="314325" y="170545125"/>
              <a:ext cx="1080617" cy="373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𝑇𝑠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𝑉𝑚𝐿𝑚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𝐿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49" name="CuadroTexto 48"/>
            <xdr:cNvSpPr txBox="1"/>
          </xdr:nvSpPr>
          <xdr:spPr>
            <a:xfrm>
              <a:off x="314325" y="170545125"/>
              <a:ext cx="1080617" cy="373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𝑇𝑠=𝑉𝑚𝐿𝑚/2𝐿=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285750</xdr:colOff>
      <xdr:row>970</xdr:row>
      <xdr:rowOff>104775</xdr:rowOff>
    </xdr:from>
    <xdr:ext cx="913263" cy="4096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 txBox="1"/>
          </xdr:nvSpPr>
          <xdr:spPr>
            <a:xfrm>
              <a:off x="285750" y="171469050"/>
              <a:ext cx="913263" cy="4096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𝐴𝑠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𝑇𝑠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𝜙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𝑓𝑦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50" name="CuadroTexto 49"/>
            <xdr:cNvSpPr txBox="1"/>
          </xdr:nvSpPr>
          <xdr:spPr>
            <a:xfrm>
              <a:off x="285750" y="171469050"/>
              <a:ext cx="913263" cy="4096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𝐴𝑠=𝑇𝑠/𝜙𝑓𝑦=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314325</xdr:colOff>
      <xdr:row>970</xdr:row>
      <xdr:rowOff>57150</xdr:rowOff>
    </xdr:from>
    <xdr:ext cx="1214563" cy="4225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SpPr txBox="1"/>
          </xdr:nvSpPr>
          <xdr:spPr>
            <a:xfrm>
              <a:off x="2238375" y="171421425"/>
              <a:ext cx="1214563" cy="4225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≥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0.1</m:t>
                        </m:r>
                        <m:sSup>
                          <m:sSupPr>
                            <m:ctrlPr>
                              <a:rPr lang="es-MX" sz="13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p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′</m:t>
                            </m:r>
                          </m:sup>
                        </m:sSup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𝑐𝐴𝑐𝑠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𝑓𝑦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51" name="CuadroTexto 50"/>
            <xdr:cNvSpPr txBox="1"/>
          </xdr:nvSpPr>
          <xdr:spPr>
            <a:xfrm>
              <a:off x="2238375" y="171421425"/>
              <a:ext cx="1214563" cy="4225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≥</a:t>
              </a:r>
              <a:r>
                <a:rPr lang="es-MX" sz="1300" b="0" i="0">
                  <a:latin typeface="Cambria Math" panose="02040503050406030204" pitchFamily="18" charset="0"/>
                </a:rPr>
                <a:t>=(0.1𝑓^′ 𝑐𝐴𝑐𝑠)/𝑓𝑦=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twoCellAnchor editAs="oneCell">
    <xdr:from>
      <xdr:col>1</xdr:col>
      <xdr:colOff>171450</xdr:colOff>
      <xdr:row>980</xdr:row>
      <xdr:rowOff>19050</xdr:rowOff>
    </xdr:from>
    <xdr:to>
      <xdr:col>2</xdr:col>
      <xdr:colOff>781291</xdr:colOff>
      <xdr:row>987</xdr:row>
      <xdr:rowOff>47806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81075" y="178803300"/>
          <a:ext cx="1724266" cy="1295581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995</xdr:row>
      <xdr:rowOff>0</xdr:rowOff>
    </xdr:from>
    <xdr:ext cx="2091085" cy="3084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SpPr txBox="1"/>
          </xdr:nvSpPr>
          <xdr:spPr>
            <a:xfrm>
              <a:off x="809625" y="181498875"/>
              <a:ext cx="2091085" cy="3084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libri" panose="020F0502020204030204" pitchFamily="34" charset="0"/>
                  <a:cs typeface="Calibri" panose="020F0502020204030204" pitchFamily="34" charset="0"/>
                </a:rPr>
                <a:t>A</a:t>
              </a:r>
              <a:r>
                <a:rPr lang="es-MX" sz="1300" b="0" i="0" baseline="-25000">
                  <a:latin typeface="Calibri" panose="020F0502020204030204" pitchFamily="34" charset="0"/>
                  <a:cs typeface="Calibri" panose="020F0502020204030204" pitchFamily="34" charset="0"/>
                </a:rPr>
                <a:t>cf</a:t>
              </a:r>
              <a14:m>
                <m:oMath xmlns:m="http://schemas.openxmlformats.org/officeDocument/2006/math">
                  <m:r>
                    <a:rPr lang="es-MX" sz="13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s-MX" sz="13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s-MX" sz="1300" b="0" i="1">
                          <a:latin typeface="Cambria Math" panose="02040503050406030204" pitchFamily="18" charset="0"/>
                        </a:rPr>
                        <m:t>𝑉𝑠</m:t>
                      </m:r>
                    </m:num>
                    <m:den>
                      <m:r>
                        <a:rPr lang="es-MX" sz="1300" b="0" i="1">
                          <a:latin typeface="Cambria Math" panose="02040503050406030204" pitchFamily="18" charset="0"/>
                        </a:rPr>
                        <m:t>0.2</m:t>
                      </m:r>
                      <m:sSup>
                        <m:sSupPr>
                          <m:ctrlPr>
                            <a:rPr lang="es-MX" sz="13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s-MX" sz="1300" b="0" i="1">
                              <a:latin typeface="Cambria Math" panose="02040503050406030204" pitchFamily="18" charset="0"/>
                            </a:rPr>
                            <m:t>𝑓</m:t>
                          </m:r>
                        </m:e>
                        <m:sup>
                          <m:r>
                            <a:rPr lang="es-MX" sz="1300" b="0" i="1">
                              <a:latin typeface="Cambria Math" panose="02040503050406030204" pitchFamily="18" charset="0"/>
                            </a:rPr>
                            <m:t>′</m:t>
                          </m:r>
                        </m:sup>
                      </m:sSup>
                      <m:r>
                        <a:rPr lang="es-MX" sz="1300" b="0" i="1">
                          <a:latin typeface="Cambria Math" panose="02040503050406030204" pitchFamily="18" charset="0"/>
                        </a:rPr>
                        <m:t>𝑐</m:t>
                      </m:r>
                      <m:r>
                        <a:rPr lang="es-MX" sz="1300" b="0" i="1">
                          <a:latin typeface="Cambria Math" panose="02040503050406030204" pitchFamily="18" charset="0"/>
                        </a:rPr>
                        <m:t>𝜙</m:t>
                      </m:r>
                    </m:den>
                  </m:f>
                  <m:r>
                    <a:rPr lang="es-MX" sz="1300" b="0" i="0">
                      <a:latin typeface="Cambria Math" panose="02040503050406030204" pitchFamily="18" charset="0"/>
                    </a:rPr>
                    <m:t>≥</m:t>
                  </m:r>
                  <m:r>
                    <m:rPr>
                      <m:sty m:val="p"/>
                    </m:rPr>
                    <a:rPr lang="es-MX" sz="1300" b="0" i="0">
                      <a:latin typeface="Cambria Math" panose="02040503050406030204" pitchFamily="18" charset="0"/>
                    </a:rPr>
                    <m:t>Ac</m:t>
                  </m:r>
                  <m:r>
                    <a:rPr lang="es-MX" sz="1300" b="0" i="0">
                      <a:latin typeface="Cambria Math" panose="02040503050406030204" pitchFamily="18" charset="0"/>
                    </a:rPr>
                    <m:t>≥15</m:t>
                  </m:r>
                  <m:r>
                    <m:rPr>
                      <m:sty m:val="p"/>
                    </m:rPr>
                    <a:rPr lang="es-MX" sz="1300" b="0" i="0">
                      <a:latin typeface="Cambria Math" panose="02040503050406030204" pitchFamily="18" charset="0"/>
                    </a:rPr>
                    <m:t>t</m:t>
                  </m:r>
                  <m:r>
                    <a:rPr lang="es-MX" sz="1300" b="0" i="0">
                      <a:latin typeface="Cambria Math" panose="02040503050406030204" pitchFamily="18" charset="0"/>
                    </a:rPr>
                    <m:t>(</m:t>
                  </m:r>
                  <m:r>
                    <m:rPr>
                      <m:sty m:val="p"/>
                    </m:rPr>
                    <a:rPr lang="es-MX" sz="1300" b="0" i="0">
                      <a:latin typeface="Cambria Math" panose="02040503050406030204" pitchFamily="18" charset="0"/>
                    </a:rPr>
                    <m:t>cm</m:t>
                  </m:r>
                  <m:r>
                    <a:rPr lang="es-MX" sz="1300" b="0" i="0">
                      <a:latin typeface="Cambria Math" panose="02040503050406030204" pitchFamily="18" charset="0"/>
                    </a:rPr>
                    <m:t>2)</m:t>
                  </m:r>
                </m:oMath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53" name="CuadroTexto 52"/>
            <xdr:cNvSpPr txBox="1"/>
          </xdr:nvSpPr>
          <xdr:spPr>
            <a:xfrm>
              <a:off x="809625" y="181498875"/>
              <a:ext cx="2091085" cy="3084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libri" panose="020F0502020204030204" pitchFamily="34" charset="0"/>
                  <a:cs typeface="Calibri" panose="020F0502020204030204" pitchFamily="34" charset="0"/>
                </a:rPr>
                <a:t>A</a:t>
              </a:r>
              <a:r>
                <a:rPr lang="es-MX" sz="1300" b="0" i="0" baseline="-25000">
                  <a:latin typeface="Calibri" panose="020F0502020204030204" pitchFamily="34" charset="0"/>
                  <a:cs typeface="Calibri" panose="020F0502020204030204" pitchFamily="34" charset="0"/>
                </a:rPr>
                <a:t>cf</a:t>
              </a:r>
              <a:r>
                <a:rPr lang="es-MX" sz="1300" b="0" i="0">
                  <a:latin typeface="Cambria Math" panose="02040503050406030204" pitchFamily="18" charset="0"/>
                </a:rPr>
                <a:t>=𝑉𝑠/(0.2𝑓^′ 𝑐𝜙)≥Ac≥15t(cm2)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714375</xdr:colOff>
      <xdr:row>999</xdr:row>
      <xdr:rowOff>133350</xdr:rowOff>
    </xdr:from>
    <xdr:ext cx="1216936" cy="3098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 txBox="1"/>
          </xdr:nvSpPr>
          <xdr:spPr>
            <a:xfrm>
              <a:off x="714375" y="182356125"/>
              <a:ext cx="1216936" cy="309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 baseline="0">
                  <a:latin typeface="Calibri" panose="020F0502020204030204" pitchFamily="34" charset="0"/>
                  <a:cs typeface="Calibri" panose="020F0502020204030204" pitchFamily="34" charset="0"/>
                </a:rPr>
                <a:t>V</a:t>
              </a:r>
              <a:r>
                <a:rPr lang="es-MX" sz="1300" b="0" i="0" baseline="-25000">
                  <a:latin typeface="Calibri" panose="020F0502020204030204" pitchFamily="34" charset="0"/>
                  <a:cs typeface="Calibri" panose="020F0502020204030204" pitchFamily="34" charset="0"/>
                </a:rPr>
                <a:t>c</a:t>
              </a:r>
              <a14:m>
                <m:oMath xmlns:m="http://schemas.openxmlformats.org/officeDocument/2006/math">
                  <m:r>
                    <a:rPr lang="es-MX" sz="1300" b="0" i="1">
                      <a:latin typeface="Cambria Math" panose="02040503050406030204" pitchFamily="18" charset="0"/>
                    </a:rPr>
                    <m:t>=1.5</m:t>
                  </m:r>
                  <m:f>
                    <m:fPr>
                      <m:ctrlPr>
                        <a:rPr lang="es-MX" sz="13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s-MX" sz="1300" b="0" i="1">
                          <a:latin typeface="Cambria Math" panose="02040503050406030204" pitchFamily="18" charset="0"/>
                        </a:rPr>
                        <m:t>𝑉𝑚</m:t>
                      </m:r>
                      <m:r>
                        <a:rPr lang="es-MX" sz="1300" b="0" i="1">
                          <a:latin typeface="Cambria Math" panose="02040503050406030204" pitchFamily="18" charset="0"/>
                        </a:rPr>
                        <m:t>1.</m:t>
                      </m:r>
                      <m:r>
                        <a:rPr lang="es-MX" sz="1300" b="0" i="1">
                          <a:latin typeface="Cambria Math" panose="02040503050406030204" pitchFamily="18" charset="0"/>
                        </a:rPr>
                        <m:t>𝐿𝑚</m:t>
                      </m:r>
                    </m:num>
                    <m:den>
                      <m:r>
                        <a:rPr lang="es-MX" sz="13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s-MX" sz="1300" b="0" i="1"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s-MX" sz="1300" b="0" i="1">
                          <a:latin typeface="Cambria Math" panose="02040503050406030204" pitchFamily="18" charset="0"/>
                        </a:rPr>
                        <m:t>𝑁𝑐</m:t>
                      </m:r>
                      <m:r>
                        <a:rPr lang="es-MX" sz="1300" b="0" i="1">
                          <a:latin typeface="Cambria Math" panose="02040503050406030204" pitchFamily="18" charset="0"/>
                        </a:rPr>
                        <m:t>+1)</m:t>
                      </m:r>
                    </m:den>
                  </m:f>
                  <m:r>
                    <a:rPr lang="es-MX" sz="1300" b="0" i="1">
                      <a:latin typeface="Cambria Math" panose="02040503050406030204" pitchFamily="18" charset="0"/>
                    </a:rPr>
                    <m:t>=</m:t>
                  </m:r>
                </m:oMath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54" name="CuadroTexto 53"/>
            <xdr:cNvSpPr txBox="1"/>
          </xdr:nvSpPr>
          <xdr:spPr>
            <a:xfrm>
              <a:off x="714375" y="182356125"/>
              <a:ext cx="1216936" cy="309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 baseline="0">
                  <a:latin typeface="Calibri" panose="020F0502020204030204" pitchFamily="34" charset="0"/>
                  <a:cs typeface="Calibri" panose="020F0502020204030204" pitchFamily="34" charset="0"/>
                </a:rPr>
                <a:t>V</a:t>
              </a:r>
              <a:r>
                <a:rPr lang="es-MX" sz="1300" b="0" i="0" baseline="-25000">
                  <a:latin typeface="Calibri" panose="020F0502020204030204" pitchFamily="34" charset="0"/>
                  <a:cs typeface="Calibri" panose="020F0502020204030204" pitchFamily="34" charset="0"/>
                </a:rPr>
                <a:t>c</a:t>
              </a:r>
              <a:r>
                <a:rPr lang="es-MX" sz="1300" b="0" i="0">
                  <a:latin typeface="Cambria Math" panose="02040503050406030204" pitchFamily="18" charset="0"/>
                </a:rPr>
                <a:t>=1.5 (𝑉𝑚1.𝐿𝑚)/(𝐿(𝑁𝑐+1))=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1</xdr:col>
      <xdr:colOff>142875</xdr:colOff>
      <xdr:row>1001</xdr:row>
      <xdr:rowOff>152400</xdr:rowOff>
    </xdr:from>
    <xdr:ext cx="965714" cy="3084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 txBox="1"/>
          </xdr:nvSpPr>
          <xdr:spPr>
            <a:xfrm>
              <a:off x="952500" y="182737125"/>
              <a:ext cx="965714" cy="3084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libri" panose="020F0502020204030204" pitchFamily="34" charset="0"/>
                  <a:cs typeface="Calibri" panose="020F0502020204030204" pitchFamily="34" charset="0"/>
                </a:rPr>
                <a:t>A</a:t>
              </a:r>
              <a:r>
                <a:rPr lang="es-MX" sz="1300" b="0" i="0" baseline="-25000">
                  <a:latin typeface="Calibri" panose="020F0502020204030204" pitchFamily="34" charset="0"/>
                  <a:cs typeface="Calibri" panose="020F0502020204030204" pitchFamily="34" charset="0"/>
                </a:rPr>
                <a:t>cf</a:t>
              </a:r>
              <a14:m>
                <m:oMath xmlns:m="http://schemas.openxmlformats.org/officeDocument/2006/math">
                  <m:r>
                    <a:rPr lang="es-MX" sz="13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s-MX" sz="13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s-MX" sz="1300" b="0" i="1">
                          <a:latin typeface="Cambria Math" panose="02040503050406030204" pitchFamily="18" charset="0"/>
                        </a:rPr>
                        <m:t>𝑉𝑠</m:t>
                      </m:r>
                    </m:num>
                    <m:den>
                      <m:r>
                        <a:rPr lang="es-MX" sz="1300" b="0" i="1">
                          <a:latin typeface="Cambria Math" panose="02040503050406030204" pitchFamily="18" charset="0"/>
                        </a:rPr>
                        <m:t>0.2</m:t>
                      </m:r>
                      <m:sSup>
                        <m:sSupPr>
                          <m:ctrlPr>
                            <a:rPr lang="es-MX" sz="13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s-MX" sz="1300" b="0" i="1">
                              <a:latin typeface="Cambria Math" panose="02040503050406030204" pitchFamily="18" charset="0"/>
                            </a:rPr>
                            <m:t>𝑓</m:t>
                          </m:r>
                        </m:e>
                        <m:sup>
                          <m:r>
                            <a:rPr lang="es-MX" sz="1300" b="0" i="1">
                              <a:latin typeface="Cambria Math" panose="02040503050406030204" pitchFamily="18" charset="0"/>
                            </a:rPr>
                            <m:t>′</m:t>
                          </m:r>
                        </m:sup>
                      </m:sSup>
                      <m:r>
                        <a:rPr lang="es-MX" sz="1300" b="0" i="1">
                          <a:latin typeface="Cambria Math" panose="02040503050406030204" pitchFamily="18" charset="0"/>
                        </a:rPr>
                        <m:t>𝑐</m:t>
                      </m:r>
                      <m:r>
                        <a:rPr lang="es-MX" sz="1300" b="0" i="1">
                          <a:latin typeface="Cambria Math" panose="02040503050406030204" pitchFamily="18" charset="0"/>
                        </a:rPr>
                        <m:t>𝜙</m:t>
                      </m:r>
                    </m:den>
                  </m:f>
                  <m:r>
                    <a:rPr lang="es-MX" sz="1300" b="0" i="0">
                      <a:latin typeface="Cambria Math" panose="02040503050406030204" pitchFamily="18" charset="0"/>
                    </a:rPr>
                    <m:t>=</m:t>
                  </m:r>
                </m:oMath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55" name="CuadroTexto 54"/>
            <xdr:cNvSpPr txBox="1"/>
          </xdr:nvSpPr>
          <xdr:spPr>
            <a:xfrm>
              <a:off x="952500" y="182737125"/>
              <a:ext cx="965714" cy="3084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libri" panose="020F0502020204030204" pitchFamily="34" charset="0"/>
                  <a:cs typeface="Calibri" panose="020F0502020204030204" pitchFamily="34" charset="0"/>
                </a:rPr>
                <a:t>A</a:t>
              </a:r>
              <a:r>
                <a:rPr lang="es-MX" sz="1300" b="0" i="0" baseline="-25000">
                  <a:latin typeface="Calibri" panose="020F0502020204030204" pitchFamily="34" charset="0"/>
                  <a:cs typeface="Calibri" panose="020F0502020204030204" pitchFamily="34" charset="0"/>
                </a:rPr>
                <a:t>cf</a:t>
              </a:r>
              <a:r>
                <a:rPr lang="es-MX" sz="1300" b="0" i="0">
                  <a:latin typeface="Cambria Math" panose="02040503050406030204" pitchFamily="18" charset="0"/>
                </a:rPr>
                <a:t>=𝑉𝑠/(0.2𝑓^′ 𝑐𝜙)=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1</xdr:col>
      <xdr:colOff>371475</xdr:colOff>
      <xdr:row>1004</xdr:row>
      <xdr:rowOff>0</xdr:rowOff>
    </xdr:from>
    <xdr:ext cx="726481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 txBox="1"/>
          </xdr:nvSpPr>
          <xdr:spPr>
            <a:xfrm>
              <a:off x="1181100" y="183127650"/>
              <a:ext cx="726481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libri" panose="020F0502020204030204" pitchFamily="34" charset="0"/>
                  <a:cs typeface="Calibri" panose="020F0502020204030204" pitchFamily="34" charset="0"/>
                </a:rPr>
                <a:t>A</a:t>
              </a:r>
              <a:r>
                <a:rPr lang="es-MX" sz="1300" b="0" i="0" baseline="-25000">
                  <a:latin typeface="Calibri" panose="020F0502020204030204" pitchFamily="34" charset="0"/>
                  <a:cs typeface="Calibri" panose="020F0502020204030204" pitchFamily="34" charset="0"/>
                </a:rPr>
                <a:t>c</a:t>
              </a:r>
              <a14:m>
                <m:oMath xmlns:m="http://schemas.openxmlformats.org/officeDocument/2006/math">
                  <m:r>
                    <a:rPr lang="es-MX" sz="1300" b="0" i="1" baseline="0">
                      <a:latin typeface="Cambria Math" panose="02040503050406030204" pitchFamily="18" charset="0"/>
                      <a:cs typeface="+mn-cs"/>
                    </a:rPr>
                    <m:t>≥</m:t>
                  </m:r>
                  <m:r>
                    <a:rPr lang="es-MX" sz="1300" b="0" i="0" baseline="0">
                      <a:latin typeface="Cambria Math" panose="02040503050406030204" pitchFamily="18" charset="0"/>
                      <a:cs typeface="+mn-cs"/>
                    </a:rPr>
                    <m:t>15</m:t>
                  </m:r>
                  <m:r>
                    <m:rPr>
                      <m:sty m:val="p"/>
                    </m:rPr>
                    <a:rPr lang="es-MX" sz="1300" b="0" i="0" baseline="0">
                      <a:latin typeface="Cambria Math" panose="02040503050406030204" pitchFamily="18" charset="0"/>
                      <a:cs typeface="+mn-cs"/>
                    </a:rPr>
                    <m:t>t</m:t>
                  </m:r>
                  <m:r>
                    <a:rPr lang="es-MX" sz="1300" b="0" i="0">
                      <a:latin typeface="Cambria Math" panose="02040503050406030204" pitchFamily="18" charset="0"/>
                    </a:rPr>
                    <m:t>=</m:t>
                  </m:r>
                </m:oMath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56" name="CuadroTexto 55"/>
            <xdr:cNvSpPr txBox="1"/>
          </xdr:nvSpPr>
          <xdr:spPr>
            <a:xfrm>
              <a:off x="1181100" y="183127650"/>
              <a:ext cx="726481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libri" panose="020F0502020204030204" pitchFamily="34" charset="0"/>
                  <a:cs typeface="Calibri" panose="020F0502020204030204" pitchFamily="34" charset="0"/>
                </a:rPr>
                <a:t>A</a:t>
              </a:r>
              <a:r>
                <a:rPr lang="es-MX" sz="1300" b="0" i="0" baseline="-25000">
                  <a:latin typeface="Calibri" panose="020F0502020204030204" pitchFamily="34" charset="0"/>
                  <a:cs typeface="Calibri" panose="020F0502020204030204" pitchFamily="34" charset="0"/>
                </a:rPr>
                <a:t>c</a:t>
              </a:r>
              <a:r>
                <a:rPr lang="es-MX" sz="1300" b="0" i="0" baseline="0">
                  <a:latin typeface="Cambria Math" panose="02040503050406030204" pitchFamily="18" charset="0"/>
                  <a:cs typeface="+mn-cs"/>
                </a:rPr>
                <a:t>≥15t</a:t>
              </a:r>
              <a:r>
                <a:rPr lang="es-MX" sz="1300" b="0" i="0">
                  <a:latin typeface="Cambria Math" panose="02040503050406030204" pitchFamily="18" charset="0"/>
                </a:rPr>
                <a:t>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1</xdr:col>
      <xdr:colOff>95250</xdr:colOff>
      <xdr:row>1012</xdr:row>
      <xdr:rowOff>114300</xdr:rowOff>
    </xdr:from>
    <xdr:ext cx="978858" cy="3342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SpPr txBox="1"/>
          </xdr:nvSpPr>
          <xdr:spPr>
            <a:xfrm>
              <a:off x="904875" y="184699275"/>
              <a:ext cx="978858" cy="334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libri" panose="020F0502020204030204" pitchFamily="34" charset="0"/>
                  <a:cs typeface="Calibri" panose="020F0502020204030204" pitchFamily="34" charset="0"/>
                </a:rPr>
                <a:t>A</a:t>
              </a:r>
              <a:r>
                <a:rPr lang="es-MX" sz="1300" b="0" i="0" baseline="-25000">
                  <a:latin typeface="Calibri" panose="020F0502020204030204" pitchFamily="34" charset="0"/>
                  <a:cs typeface="Calibri" panose="020F0502020204030204" pitchFamily="34" charset="0"/>
                </a:rPr>
                <a:t>s</a:t>
              </a:r>
              <a14:m>
                <m:oMath xmlns:m="http://schemas.openxmlformats.org/officeDocument/2006/math">
                  <m:r>
                    <a:rPr lang="es-MX" sz="1300" b="0" i="1" baseline="0">
                      <a:latin typeface="Cambria Math" panose="02040503050406030204" pitchFamily="18" charset="0"/>
                      <a:cs typeface="+mn-cs"/>
                    </a:rPr>
                    <m:t>≥</m:t>
                  </m:r>
                  <m:f>
                    <m:fPr>
                      <m:ctrlPr>
                        <a:rPr lang="es-MX" sz="1300" b="0" i="1" baseline="0">
                          <a:latin typeface="Cambria Math" panose="02040503050406030204" pitchFamily="18" charset="0"/>
                          <a:cs typeface="+mn-cs"/>
                        </a:rPr>
                      </m:ctrlPr>
                    </m:fPr>
                    <m:num>
                      <m:r>
                        <a:rPr lang="es-MX" sz="1300" b="0" i="1" baseline="0">
                          <a:latin typeface="Cambria Math" panose="02040503050406030204" pitchFamily="18" charset="0"/>
                          <a:cs typeface="+mn-cs"/>
                        </a:rPr>
                        <m:t>0.1</m:t>
                      </m:r>
                      <m:sSup>
                        <m:sSupPr>
                          <m:ctrlPr>
                            <a:rPr lang="es-MX" sz="1300" b="0" i="1" baseline="0">
                              <a:latin typeface="Cambria Math" panose="02040503050406030204" pitchFamily="18" charset="0"/>
                              <a:cs typeface="+mn-cs"/>
                            </a:rPr>
                          </m:ctrlPr>
                        </m:sSupPr>
                        <m:e>
                          <m:r>
                            <a:rPr lang="es-MX" sz="1300" b="0" i="1" baseline="0">
                              <a:latin typeface="Cambria Math" panose="02040503050406030204" pitchFamily="18" charset="0"/>
                              <a:cs typeface="+mn-cs"/>
                            </a:rPr>
                            <m:t>𝑓</m:t>
                          </m:r>
                        </m:e>
                        <m:sup>
                          <m:r>
                            <a:rPr lang="es-MX" sz="1300" b="0" i="1" baseline="0">
                              <a:latin typeface="Cambria Math" panose="02040503050406030204" pitchFamily="18" charset="0"/>
                              <a:cs typeface="+mn-cs"/>
                            </a:rPr>
                            <m:t>′</m:t>
                          </m:r>
                        </m:sup>
                      </m:sSup>
                      <m:r>
                        <a:rPr lang="es-MX" sz="1300" b="0" i="1" baseline="0">
                          <a:latin typeface="Cambria Math" panose="02040503050406030204" pitchFamily="18" charset="0"/>
                          <a:cs typeface="+mn-cs"/>
                        </a:rPr>
                        <m:t>𝑐𝐴𝑐</m:t>
                      </m:r>
                    </m:num>
                    <m:den>
                      <m:r>
                        <a:rPr lang="es-MX" sz="1300" b="0" i="1" baseline="0">
                          <a:latin typeface="Cambria Math" panose="02040503050406030204" pitchFamily="18" charset="0"/>
                          <a:cs typeface="+mn-cs"/>
                        </a:rPr>
                        <m:t>𝑓𝑦</m:t>
                      </m:r>
                    </m:den>
                  </m:f>
                  <m:r>
                    <a:rPr lang="es-MX" sz="1300" b="0" i="0">
                      <a:latin typeface="Cambria Math" panose="02040503050406030204" pitchFamily="18" charset="0"/>
                    </a:rPr>
                    <m:t>=</m:t>
                  </m:r>
                </m:oMath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57" name="CuadroTexto 56"/>
            <xdr:cNvSpPr txBox="1"/>
          </xdr:nvSpPr>
          <xdr:spPr>
            <a:xfrm>
              <a:off x="904875" y="184699275"/>
              <a:ext cx="978858" cy="334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libri" panose="020F0502020204030204" pitchFamily="34" charset="0"/>
                  <a:cs typeface="Calibri" panose="020F0502020204030204" pitchFamily="34" charset="0"/>
                </a:rPr>
                <a:t>A</a:t>
              </a:r>
              <a:r>
                <a:rPr lang="es-MX" sz="1300" b="0" i="0" baseline="-25000">
                  <a:latin typeface="Calibri" panose="020F0502020204030204" pitchFamily="34" charset="0"/>
                  <a:cs typeface="Calibri" panose="020F0502020204030204" pitchFamily="34" charset="0"/>
                </a:rPr>
                <a:t>s</a:t>
              </a:r>
              <a:r>
                <a:rPr lang="es-MX" sz="1300" b="0" i="0" baseline="0">
                  <a:latin typeface="Cambria Math" panose="02040503050406030204" pitchFamily="18" charset="0"/>
                  <a:cs typeface="+mn-cs"/>
                </a:rPr>
                <a:t>≥(0.1𝑓^′ 𝑐𝐴𝑐)/𝑓𝑦</a:t>
              </a:r>
              <a:r>
                <a:rPr lang="es-MX" sz="1300" b="0" i="0">
                  <a:latin typeface="Cambria Math" panose="02040503050406030204" pitchFamily="18" charset="0"/>
                </a:rPr>
                <a:t>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twoCellAnchor editAs="oneCell">
    <xdr:from>
      <xdr:col>0</xdr:col>
      <xdr:colOff>733425</xdr:colOff>
      <xdr:row>1024</xdr:row>
      <xdr:rowOff>76200</xdr:rowOff>
    </xdr:from>
    <xdr:to>
      <xdr:col>2</xdr:col>
      <xdr:colOff>247851</xdr:colOff>
      <xdr:row>1033</xdr:row>
      <xdr:rowOff>124059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33425" y="186842400"/>
          <a:ext cx="1438476" cy="1676634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1034</xdr:row>
      <xdr:rowOff>85725</xdr:rowOff>
    </xdr:from>
    <xdr:to>
      <xdr:col>5</xdr:col>
      <xdr:colOff>600075</xdr:colOff>
      <xdr:row>1044</xdr:row>
      <xdr:rowOff>95250</xdr:rowOff>
    </xdr:to>
    <xdr:sp macro="" textlink="">
      <xdr:nvSpPr>
        <xdr:cNvPr id="59" name="Rectángulo redondeado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904875" y="188661675"/>
          <a:ext cx="7800975" cy="1819275"/>
        </a:xfrm>
        <a:prstGeom prst="roundRect">
          <a:avLst/>
        </a:prstGeom>
        <a:blipFill>
          <a:blip xmlns:r="http://schemas.openxmlformats.org/officeDocument/2006/relationships" r:embed="rId10"/>
          <a:tile tx="0" ty="0" sx="100000" sy="100000" flip="none" algn="tl"/>
        </a:blip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aseline="0">
              <a:solidFill>
                <a:sysClr val="windowText" lastClr="000000"/>
              </a:solidFill>
              <a:latin typeface="Trebuchet MS" panose="020B0603020202020204" pitchFamily="34" charset="0"/>
            </a:rPr>
            <a:t>DISEÑO DE LOSA ALIGERADA</a:t>
          </a:r>
        </a:p>
      </xdr:txBody>
    </xdr:sp>
    <xdr:clientData/>
  </xdr:twoCellAnchor>
  <xdr:twoCellAnchor editAs="oneCell">
    <xdr:from>
      <xdr:col>2</xdr:col>
      <xdr:colOff>9525</xdr:colOff>
      <xdr:row>1052</xdr:row>
      <xdr:rowOff>123825</xdr:rowOff>
    </xdr:from>
    <xdr:to>
      <xdr:col>4</xdr:col>
      <xdr:colOff>1934378</xdr:colOff>
      <xdr:row>1059</xdr:row>
      <xdr:rowOff>66844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933575" y="191957325"/>
          <a:ext cx="5753903" cy="120984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1096</xdr:row>
      <xdr:rowOff>0</xdr:rowOff>
    </xdr:from>
    <xdr:to>
      <xdr:col>4</xdr:col>
      <xdr:colOff>493</xdr:colOff>
      <xdr:row>1103</xdr:row>
      <xdr:rowOff>162124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924050" y="199815450"/>
          <a:ext cx="3534268" cy="1428949"/>
        </a:xfrm>
        <a:prstGeom prst="rect">
          <a:avLst/>
        </a:prstGeom>
      </xdr:spPr>
    </xdr:pic>
    <xdr:clientData/>
  </xdr:twoCellAnchor>
  <xdr:oneCellAnchor>
    <xdr:from>
      <xdr:col>1</xdr:col>
      <xdr:colOff>238125</xdr:colOff>
      <xdr:row>1106</xdr:row>
      <xdr:rowOff>142875</xdr:rowOff>
    </xdr:from>
    <xdr:ext cx="1653401" cy="5630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SpPr txBox="1"/>
          </xdr:nvSpPr>
          <xdr:spPr>
            <a:xfrm>
              <a:off x="1047750" y="201768075"/>
              <a:ext cx="1653401" cy="5630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∝</m:t>
                    </m:r>
                    <m:r>
                      <a:rPr lang="es-MX" sz="1100" b="0" i="1" baseline="-2500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𝐵𝐴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𝐼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4.2</m:t>
                            </m:r>
                          </m:den>
                        </m:f>
                      </m:num>
                      <m:den>
                        <m:f>
                          <m:f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num>
                          <m:den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4.2</m:t>
                            </m:r>
                          </m:den>
                        </m:f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𝐼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3.45</m:t>
                            </m:r>
                          </m:den>
                        </m:f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=0.45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1" name="CuadroTexto 60"/>
            <xdr:cNvSpPr txBox="1"/>
          </xdr:nvSpPr>
          <xdr:spPr>
            <a:xfrm>
              <a:off x="1047750" y="201768075"/>
              <a:ext cx="1653401" cy="5630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∝</a:t>
              </a:r>
              <a:r>
                <a:rPr lang="es-MX" sz="11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𝐵𝐴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=(𝐼/4.2)/(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𝐼/4.2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𝐼/3.45)=0.45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238125</xdr:colOff>
      <xdr:row>1106</xdr:row>
      <xdr:rowOff>142875</xdr:rowOff>
    </xdr:from>
    <xdr:ext cx="1594219" cy="5630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00000000-0008-0000-0000-00003F000000}"/>
                </a:ext>
              </a:extLst>
            </xdr:cNvPr>
            <xdr:cNvSpPr txBox="1"/>
          </xdr:nvSpPr>
          <xdr:spPr>
            <a:xfrm>
              <a:off x="3590925" y="201768075"/>
              <a:ext cx="1594219" cy="5630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∝</m:t>
                    </m:r>
                    <m:r>
                      <a:rPr lang="es-MX" sz="1100" b="0" i="1" baseline="-2500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𝐵𝐶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𝐼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3.45</m:t>
                            </m:r>
                          </m:den>
                        </m:f>
                      </m:num>
                      <m:den>
                        <m:f>
                          <m:f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num>
                          <m:den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4.2</m:t>
                            </m:r>
                          </m:den>
                        </m:f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𝐼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3.45</m:t>
                            </m:r>
                          </m:den>
                        </m:f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=0.55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3" name="CuadroTexto 62"/>
            <xdr:cNvSpPr txBox="1"/>
          </xdr:nvSpPr>
          <xdr:spPr>
            <a:xfrm>
              <a:off x="3590925" y="201768075"/>
              <a:ext cx="1594219" cy="5630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∝</a:t>
              </a:r>
              <a:r>
                <a:rPr lang="es-MX" sz="11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𝐵𝐶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=(𝐼/3.45)/(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𝐼/4.2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𝐼/3.45)=0.55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</xdr:col>
      <xdr:colOff>1047750</xdr:colOff>
      <xdr:row>1133</xdr:row>
      <xdr:rowOff>10358</xdr:rowOff>
    </xdr:from>
    <xdr:to>
      <xdr:col>4</xdr:col>
      <xdr:colOff>572381</xdr:colOff>
      <xdr:row>1138</xdr:row>
      <xdr:rowOff>28757</xdr:rowOff>
    </xdr:to>
    <xdr:pic>
      <xdr:nvPicPr>
        <xdr:cNvPr id="62" name="Imagen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57375" y="206521883"/>
          <a:ext cx="4468106" cy="923274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1186</xdr:row>
      <xdr:rowOff>71954</xdr:rowOff>
    </xdr:from>
    <xdr:to>
      <xdr:col>2</xdr:col>
      <xdr:colOff>933903</xdr:colOff>
      <xdr:row>1191</xdr:row>
      <xdr:rowOff>47822</xdr:rowOff>
    </xdr:to>
    <xdr:pic>
      <xdr:nvPicPr>
        <xdr:cNvPr id="1024" name="Imagen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8675" y="216184679"/>
          <a:ext cx="2029278" cy="880743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1197</xdr:row>
      <xdr:rowOff>85725</xdr:rowOff>
    </xdr:from>
    <xdr:to>
      <xdr:col>3</xdr:col>
      <xdr:colOff>9970</xdr:colOff>
      <xdr:row>1205</xdr:row>
      <xdr:rowOff>76401</xdr:rowOff>
    </xdr:to>
    <xdr:pic>
      <xdr:nvPicPr>
        <xdr:cNvPr id="1026" name="Imagen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71450" y="218189175"/>
          <a:ext cx="3191320" cy="143847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1214</xdr:row>
      <xdr:rowOff>0</xdr:rowOff>
    </xdr:from>
    <xdr:to>
      <xdr:col>3</xdr:col>
      <xdr:colOff>266700</xdr:colOff>
      <xdr:row>1225</xdr:row>
      <xdr:rowOff>6270</xdr:rowOff>
    </xdr:to>
    <xdr:pic>
      <xdr:nvPicPr>
        <xdr:cNvPr id="1027" name="Imagen 1026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09625" y="221180025"/>
          <a:ext cx="2809875" cy="1996995"/>
        </a:xfrm>
        <a:prstGeom prst="rect">
          <a:avLst/>
        </a:prstGeom>
      </xdr:spPr>
    </xdr:pic>
    <xdr:clientData/>
  </xdr:twoCellAnchor>
  <xdr:twoCellAnchor>
    <xdr:from>
      <xdr:col>1</xdr:col>
      <xdr:colOff>28575</xdr:colOff>
      <xdr:row>1226</xdr:row>
      <xdr:rowOff>142875</xdr:rowOff>
    </xdr:from>
    <xdr:to>
      <xdr:col>5</xdr:col>
      <xdr:colOff>533400</xdr:colOff>
      <xdr:row>1236</xdr:row>
      <xdr:rowOff>152400</xdr:rowOff>
    </xdr:to>
    <xdr:sp macro="" textlink="">
      <xdr:nvSpPr>
        <xdr:cNvPr id="68" name="Rectángulo redondeado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838200" y="223494600"/>
          <a:ext cx="7800975" cy="1819275"/>
        </a:xfrm>
        <a:prstGeom prst="roundRect">
          <a:avLst/>
        </a:prstGeom>
        <a:blipFill>
          <a:blip xmlns:r="http://schemas.openxmlformats.org/officeDocument/2006/relationships" r:embed="rId10"/>
          <a:tile tx="0" ty="0" sx="100000" sy="100000" flip="none" algn="tl"/>
        </a:blip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aseline="0">
              <a:solidFill>
                <a:sysClr val="windowText" lastClr="000000"/>
              </a:solidFill>
              <a:latin typeface="Trebuchet MS" panose="020B0603020202020204" pitchFamily="34" charset="0"/>
            </a:rPr>
            <a:t>DISEÑO DE VIGAS CHATAS Y PERALTADAS</a:t>
          </a:r>
        </a:p>
      </xdr:txBody>
    </xdr:sp>
    <xdr:clientData/>
  </xdr:twoCellAnchor>
  <xdr:twoCellAnchor editAs="oneCell">
    <xdr:from>
      <xdr:col>2</xdr:col>
      <xdr:colOff>461752</xdr:colOff>
      <xdr:row>1242</xdr:row>
      <xdr:rowOff>85725</xdr:rowOff>
    </xdr:from>
    <xdr:to>
      <xdr:col>4</xdr:col>
      <xdr:colOff>787</xdr:colOff>
      <xdr:row>1253</xdr:row>
      <xdr:rowOff>124337</xdr:rowOff>
    </xdr:to>
    <xdr:pic>
      <xdr:nvPicPr>
        <xdr:cNvPr id="1028" name="Imagen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385802" y="226333050"/>
          <a:ext cx="3120435" cy="2029337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1255</xdr:row>
      <xdr:rowOff>76200</xdr:rowOff>
    </xdr:from>
    <xdr:to>
      <xdr:col>2</xdr:col>
      <xdr:colOff>228600</xdr:colOff>
      <xdr:row>1259</xdr:row>
      <xdr:rowOff>79297</xdr:rowOff>
    </xdr:to>
    <xdr:pic>
      <xdr:nvPicPr>
        <xdr:cNvPr id="1029" name="Imagen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66775" y="228676200"/>
          <a:ext cx="1285875" cy="726997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1262</xdr:row>
      <xdr:rowOff>57149</xdr:rowOff>
    </xdr:from>
    <xdr:to>
      <xdr:col>2</xdr:col>
      <xdr:colOff>1237756</xdr:colOff>
      <xdr:row>1274</xdr:row>
      <xdr:rowOff>86086</xdr:rowOff>
    </xdr:to>
    <xdr:pic>
      <xdr:nvPicPr>
        <xdr:cNvPr id="1030" name="Imagen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571500" y="229923974"/>
          <a:ext cx="2742706" cy="2200637"/>
        </a:xfrm>
        <a:prstGeom prst="rect">
          <a:avLst/>
        </a:prstGeom>
      </xdr:spPr>
    </xdr:pic>
    <xdr:clientData/>
  </xdr:twoCellAnchor>
  <xdr:twoCellAnchor editAs="oneCell">
    <xdr:from>
      <xdr:col>2</xdr:col>
      <xdr:colOff>390524</xdr:colOff>
      <xdr:row>1288</xdr:row>
      <xdr:rowOff>38101</xdr:rowOff>
    </xdr:from>
    <xdr:to>
      <xdr:col>4</xdr:col>
      <xdr:colOff>553201</xdr:colOff>
      <xdr:row>1298</xdr:row>
      <xdr:rowOff>90217</xdr:rowOff>
    </xdr:to>
    <xdr:pic>
      <xdr:nvPicPr>
        <xdr:cNvPr id="1031" name="Imagen 1030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314574" y="234629326"/>
          <a:ext cx="3991727" cy="1861866"/>
        </a:xfrm>
        <a:prstGeom prst="rect">
          <a:avLst/>
        </a:prstGeom>
      </xdr:spPr>
    </xdr:pic>
    <xdr:clientData/>
  </xdr:twoCellAnchor>
  <xdr:twoCellAnchor editAs="oneCell">
    <xdr:from>
      <xdr:col>2</xdr:col>
      <xdr:colOff>739885</xdr:colOff>
      <xdr:row>1298</xdr:row>
      <xdr:rowOff>171449</xdr:rowOff>
    </xdr:from>
    <xdr:to>
      <xdr:col>4</xdr:col>
      <xdr:colOff>593</xdr:colOff>
      <xdr:row>1307</xdr:row>
      <xdr:rowOff>57455</xdr:rowOff>
    </xdr:to>
    <xdr:pic>
      <xdr:nvPicPr>
        <xdr:cNvPr id="1032" name="Imagen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663935" y="236572424"/>
          <a:ext cx="2937358" cy="1514781"/>
        </a:xfrm>
        <a:prstGeom prst="rect">
          <a:avLst/>
        </a:prstGeom>
      </xdr:spPr>
    </xdr:pic>
    <xdr:clientData/>
  </xdr:twoCellAnchor>
  <xdr:twoCellAnchor>
    <xdr:from>
      <xdr:col>0</xdr:col>
      <xdr:colOff>323850</xdr:colOff>
      <xdr:row>1372</xdr:row>
      <xdr:rowOff>133350</xdr:rowOff>
    </xdr:from>
    <xdr:to>
      <xdr:col>5</xdr:col>
      <xdr:colOff>19050</xdr:colOff>
      <xdr:row>1382</xdr:row>
      <xdr:rowOff>142875</xdr:rowOff>
    </xdr:to>
    <xdr:sp macro="" textlink="">
      <xdr:nvSpPr>
        <xdr:cNvPr id="74" name="Rectángulo redondeado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>
          <a:off x="323850" y="249926475"/>
          <a:ext cx="7800975" cy="1819275"/>
        </a:xfrm>
        <a:prstGeom prst="roundRect">
          <a:avLst/>
        </a:prstGeom>
        <a:blipFill>
          <a:blip xmlns:r="http://schemas.openxmlformats.org/officeDocument/2006/relationships" r:embed="rId10"/>
          <a:tile tx="0" ty="0" sx="100000" sy="100000" flip="none" algn="tl"/>
        </a:blip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aseline="0">
              <a:solidFill>
                <a:sysClr val="windowText" lastClr="000000"/>
              </a:solidFill>
              <a:latin typeface="Trebuchet MS" panose="020B0603020202020204" pitchFamily="34" charset="0"/>
            </a:rPr>
            <a:t>DISEÑO ESTRUCTURAL DE UNA ESCALERA DE DOS TRAMOS</a:t>
          </a:r>
        </a:p>
      </xdr:txBody>
    </xdr:sp>
    <xdr:clientData/>
  </xdr:twoCellAnchor>
  <xdr:twoCellAnchor editAs="oneCell">
    <xdr:from>
      <xdr:col>1</xdr:col>
      <xdr:colOff>0</xdr:colOff>
      <xdr:row>1385</xdr:row>
      <xdr:rowOff>0</xdr:rowOff>
    </xdr:from>
    <xdr:to>
      <xdr:col>3</xdr:col>
      <xdr:colOff>1095883</xdr:colOff>
      <xdr:row>1400</xdr:row>
      <xdr:rowOff>105169</xdr:rowOff>
    </xdr:to>
    <xdr:pic>
      <xdr:nvPicPr>
        <xdr:cNvPr id="1033" name="Imagen 1032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09625" y="252145800"/>
          <a:ext cx="3639058" cy="2819794"/>
        </a:xfrm>
        <a:prstGeom prst="rect">
          <a:avLst/>
        </a:prstGeom>
      </xdr:spPr>
    </xdr:pic>
    <xdr:clientData/>
  </xdr:twoCellAnchor>
  <xdr:twoCellAnchor editAs="oneCell">
    <xdr:from>
      <xdr:col>1</xdr:col>
      <xdr:colOff>457120</xdr:colOff>
      <xdr:row>1402</xdr:row>
      <xdr:rowOff>28574</xdr:rowOff>
    </xdr:from>
    <xdr:to>
      <xdr:col>3</xdr:col>
      <xdr:colOff>1143578</xdr:colOff>
      <xdr:row>1416</xdr:row>
      <xdr:rowOff>152875</xdr:rowOff>
    </xdr:to>
    <xdr:pic>
      <xdr:nvPicPr>
        <xdr:cNvPr id="1034" name="Imagen 1033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66745" y="255250949"/>
          <a:ext cx="3229633" cy="265795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1430</xdr:row>
      <xdr:rowOff>76200</xdr:rowOff>
    </xdr:from>
    <xdr:to>
      <xdr:col>5</xdr:col>
      <xdr:colOff>504825</xdr:colOff>
      <xdr:row>1440</xdr:row>
      <xdr:rowOff>85725</xdr:rowOff>
    </xdr:to>
    <xdr:sp macro="" textlink="">
      <xdr:nvSpPr>
        <xdr:cNvPr id="77" name="Rectángulo redondeado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809625" y="260365875"/>
          <a:ext cx="7800975" cy="1819275"/>
        </a:xfrm>
        <a:prstGeom prst="roundRect">
          <a:avLst/>
        </a:prstGeom>
        <a:blipFill>
          <a:blip xmlns:r="http://schemas.openxmlformats.org/officeDocument/2006/relationships" r:embed="rId10"/>
          <a:tile tx="0" ty="0" sx="100000" sy="100000" flip="none" algn="tl"/>
        </a:blip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aseline="0">
              <a:solidFill>
                <a:sysClr val="windowText" lastClr="000000"/>
              </a:solidFill>
              <a:latin typeface="Trebuchet MS" panose="020B0603020202020204" pitchFamily="34" charset="0"/>
            </a:rPr>
            <a:t>DISEÑO CIMENTACIÓN</a:t>
          </a:r>
        </a:p>
      </xdr:txBody>
    </xdr:sp>
    <xdr:clientData/>
  </xdr:twoCellAnchor>
  <xdr:twoCellAnchor editAs="oneCell">
    <xdr:from>
      <xdr:col>1</xdr:col>
      <xdr:colOff>871989</xdr:colOff>
      <xdr:row>1443</xdr:row>
      <xdr:rowOff>19050</xdr:rowOff>
    </xdr:from>
    <xdr:to>
      <xdr:col>3</xdr:col>
      <xdr:colOff>1905823</xdr:colOff>
      <xdr:row>1456</xdr:row>
      <xdr:rowOff>152973</xdr:rowOff>
    </xdr:to>
    <xdr:pic>
      <xdr:nvPicPr>
        <xdr:cNvPr id="1035" name="Imagen 1034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81614" y="262670925"/>
          <a:ext cx="3577009" cy="2486598"/>
        </a:xfrm>
        <a:prstGeom prst="rect">
          <a:avLst/>
        </a:prstGeom>
      </xdr:spPr>
    </xdr:pic>
    <xdr:clientData/>
  </xdr:twoCellAnchor>
  <xdr:twoCellAnchor>
    <xdr:from>
      <xdr:col>0</xdr:col>
      <xdr:colOff>685800</xdr:colOff>
      <xdr:row>1506</xdr:row>
      <xdr:rowOff>142875</xdr:rowOff>
    </xdr:from>
    <xdr:to>
      <xdr:col>5</xdr:col>
      <xdr:colOff>381000</xdr:colOff>
      <xdr:row>1516</xdr:row>
      <xdr:rowOff>152400</xdr:rowOff>
    </xdr:to>
    <xdr:sp macro="" textlink="">
      <xdr:nvSpPr>
        <xdr:cNvPr id="79" name="Rectángulo redondeado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>
          <a:off x="685800" y="274196175"/>
          <a:ext cx="7800975" cy="1819275"/>
        </a:xfrm>
        <a:prstGeom prst="roundRect">
          <a:avLst/>
        </a:prstGeom>
        <a:blipFill>
          <a:blip xmlns:r="http://schemas.openxmlformats.org/officeDocument/2006/relationships" r:embed="rId10"/>
          <a:tile tx="0" ty="0" sx="100000" sy="100000" flip="none" algn="tl"/>
        </a:blip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aseline="0">
              <a:solidFill>
                <a:sysClr val="windowText" lastClr="000000"/>
              </a:solidFill>
              <a:latin typeface="Trebuchet MS" panose="020B0603020202020204" pitchFamily="34" charset="0"/>
            </a:rPr>
            <a:t>DISEÑO MURO DE CERCO</a:t>
          </a:r>
        </a:p>
      </xdr:txBody>
    </xdr:sp>
    <xdr:clientData/>
  </xdr:twoCellAnchor>
  <xdr:twoCellAnchor editAs="oneCell">
    <xdr:from>
      <xdr:col>3</xdr:col>
      <xdr:colOff>638393</xdr:colOff>
      <xdr:row>1517</xdr:row>
      <xdr:rowOff>0</xdr:rowOff>
    </xdr:from>
    <xdr:to>
      <xdr:col>3</xdr:col>
      <xdr:colOff>1654965</xdr:colOff>
      <xdr:row>1544</xdr:row>
      <xdr:rowOff>10575</xdr:rowOff>
    </xdr:to>
    <xdr:pic>
      <xdr:nvPicPr>
        <xdr:cNvPr id="1036" name="Imagen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 flipH="1">
          <a:off x="3991193" y="276044025"/>
          <a:ext cx="1016572" cy="4896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494347</xdr:colOff>
      <xdr:row>0</xdr:row>
      <xdr:rowOff>0</xdr:rowOff>
    </xdr:from>
    <xdr:to>
      <xdr:col>8</xdr:col>
      <xdr:colOff>371475</xdr:colOff>
      <xdr:row>15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502920</xdr:colOff>
          <xdr:row>1</xdr:row>
          <xdr:rowOff>38100</xdr:rowOff>
        </xdr:from>
        <xdr:to>
          <xdr:col>3</xdr:col>
          <xdr:colOff>160020</xdr:colOff>
          <xdr:row>2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614224</xdr:colOff>
      <xdr:row>0</xdr:row>
      <xdr:rowOff>106680</xdr:rowOff>
    </xdr:from>
    <xdr:to>
      <xdr:col>15</xdr:col>
      <xdr:colOff>579120</xdr:colOff>
      <xdr:row>29</xdr:row>
      <xdr:rowOff>155591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31504" y="106680"/>
          <a:ext cx="3134816" cy="5352431"/>
        </a:xfrm>
        <a:prstGeom prst="rect">
          <a:avLst/>
        </a:prstGeom>
      </xdr:spPr>
    </xdr:pic>
    <xdr:clientData/>
  </xdr:twoCellAnchor>
  <xdr:twoCellAnchor editAs="oneCell">
    <xdr:from>
      <xdr:col>5</xdr:col>
      <xdr:colOff>588808</xdr:colOff>
      <xdr:row>0</xdr:row>
      <xdr:rowOff>0</xdr:rowOff>
    </xdr:from>
    <xdr:to>
      <xdr:col>9</xdr:col>
      <xdr:colOff>723899</xdr:colOff>
      <xdr:row>45</xdr:row>
      <xdr:rowOff>178735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51208" y="0"/>
          <a:ext cx="3305011" cy="840833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1" displayName="tabla1" ref="B48:F53" totalsRowCount="1">
  <autoFilter ref="B48:F52" xr:uid="{00000000-0009-0000-0100-000003000000}"/>
  <tableColumns count="5">
    <tableColumn id="1" xr3:uid="{00000000-0010-0000-0000-000001000000}" name="Column1" totalsRowLabel="Total"/>
    <tableColumn id="2" xr3:uid="{00000000-0010-0000-0000-000002000000}" name="Column2"/>
    <tableColumn id="3" xr3:uid="{00000000-0010-0000-0000-000003000000}" name="Column3"/>
    <tableColumn id="4" xr3:uid="{00000000-0010-0000-0000-000004000000}" name="Column4"/>
    <tableColumn id="6" xr3:uid="{00000000-0010-0000-0000-000006000000}" name="Column5" totalsRowFunction="sum" dataDxfId="192" totalsRowDxfId="191">
      <calculatedColumnFormula>C49*D49*E49</calculatedColumnFormula>
    </tableColumn>
  </tableColumns>
  <tableStyleInfo name="TableStyleMedium2" showFirstColumn="0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4" displayName="Table4" ref="B59:F62" totalsRowCount="1" tableBorderDxfId="190">
  <autoFilter ref="B59:F61" xr:uid="{00000000-0009-0000-0100-000004000000}"/>
  <tableColumns count="5">
    <tableColumn id="1" xr3:uid="{00000000-0010-0000-0100-000001000000}" name="Column1" totalsRowLabel="Total"/>
    <tableColumn id="2" xr3:uid="{00000000-0010-0000-0100-000002000000}" name="Column2"/>
    <tableColumn id="3" xr3:uid="{00000000-0010-0000-0100-000003000000}" name="Column3"/>
    <tableColumn id="4" xr3:uid="{00000000-0010-0000-0100-000004000000}" name="Column4"/>
    <tableColumn id="5" xr3:uid="{00000000-0010-0000-0100-000005000000}" name="Column5" totalsRowFunction="sum" totalsRowDxfId="189">
      <calculatedColumnFormula>C60*D60*E60</calculatedColumnFormula>
    </tableColumn>
  </tableColumns>
  <tableStyleInfo name="TableStyleMedium2" showFirstColumn="0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6" displayName="Table6" ref="B69:F77" totalsRowCount="1">
  <autoFilter ref="B69:F76" xr:uid="{00000000-0009-0000-0100-000006000000}"/>
  <tableColumns count="5">
    <tableColumn id="1" xr3:uid="{00000000-0010-0000-0200-000001000000}" name="Column1" totalsRowLabel="Total"/>
    <tableColumn id="2" xr3:uid="{00000000-0010-0000-0200-000002000000}" name="Column2"/>
    <tableColumn id="3" xr3:uid="{00000000-0010-0000-0200-000003000000}" name="Column3"/>
    <tableColumn id="4" xr3:uid="{00000000-0010-0000-0200-000004000000}" name="Column4"/>
    <tableColumn id="5" xr3:uid="{00000000-0010-0000-0200-000005000000}" name="Column5" totalsRowFunction="sum" totalsRowDxfId="188">
      <calculatedColumnFormula>C70*D70*E70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Table9" displayName="Table9" ref="B87:F90" totalsRowCount="1" headerRowDxfId="187" dataDxfId="185" headerRowBorderDxfId="186" tableBorderDxfId="184" totalsRowBorderDxfId="183">
  <autoFilter ref="B87:F89" xr:uid="{00000000-0009-0000-0100-000009000000}"/>
  <tableColumns count="5">
    <tableColumn id="1" xr3:uid="{00000000-0010-0000-0300-000001000000}" name="Column1" totalsRowLabel="Total" dataDxfId="182" totalsRowDxfId="181"/>
    <tableColumn id="2" xr3:uid="{00000000-0010-0000-0300-000002000000}" name="Column2" dataDxfId="180" totalsRowDxfId="179"/>
    <tableColumn id="3" xr3:uid="{00000000-0010-0000-0300-000003000000}" name="Column3" dataDxfId="178" totalsRowDxfId="177"/>
    <tableColumn id="4" xr3:uid="{00000000-0010-0000-0300-000004000000}" name="Column4" dataDxfId="176" totalsRowDxfId="175"/>
    <tableColumn id="5" xr3:uid="{00000000-0010-0000-0300-000005000000}" name="Column5" totalsRowFunction="sum" dataDxfId="174" totalsRowDxfId="173">
      <calculatedColumnFormula>C88*D88*E88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4000000}" name="Table10" displayName="Table10" ref="B105:H108" totalsRowCount="1">
  <autoFilter ref="B105:H107" xr:uid="{00000000-0009-0000-0100-00000A000000}"/>
  <tableColumns count="7">
    <tableColumn id="1" xr3:uid="{00000000-0010-0000-0400-000001000000}" name="Column1" totalsRowLabel="Total" dataDxfId="172"/>
    <tableColumn id="2" xr3:uid="{00000000-0010-0000-0400-000002000000}" name="Column2"/>
    <tableColumn id="3" xr3:uid="{00000000-0010-0000-0400-000003000000}" name="Column3"/>
    <tableColumn id="4" xr3:uid="{00000000-0010-0000-0400-000004000000}" name="Column4"/>
    <tableColumn id="5" xr3:uid="{00000000-0010-0000-0400-000005000000}" name="Column5"/>
    <tableColumn id="6" xr3:uid="{00000000-0010-0000-0400-000006000000}" name="Column6"/>
    <tableColumn id="7" xr3:uid="{00000000-0010-0000-0400-000007000000}" name="Column7" totalsRowFunction="sum" totalsRowDxfId="171">
      <calculatedColumnFormula>Table10[[#This Row],[Column2]]*Table10[[#This Row],[Column3]]*E106*F106*G106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Table11" displayName="Table11" ref="B112:F115" totalsRowCount="1" headerRowDxfId="170" dataDxfId="168" headerRowBorderDxfId="169" tableBorderDxfId="167" totalsRowBorderDxfId="166">
  <autoFilter ref="B112:F114" xr:uid="{00000000-0009-0000-0100-00000B000000}"/>
  <tableColumns count="5">
    <tableColumn id="1" xr3:uid="{00000000-0010-0000-0500-000001000000}" name="Column1" totalsRowLabel="Total" dataDxfId="165" totalsRowDxfId="164"/>
    <tableColumn id="2" xr3:uid="{00000000-0010-0000-0500-000002000000}" name="Column2" dataDxfId="163" totalsRowDxfId="162"/>
    <tableColumn id="3" xr3:uid="{00000000-0010-0000-0500-000003000000}" name="Column3" dataDxfId="161" totalsRowDxfId="160"/>
    <tableColumn id="4" xr3:uid="{00000000-0010-0000-0500-000004000000}" name="Column4" dataDxfId="159" totalsRowDxfId="158"/>
    <tableColumn id="5" xr3:uid="{00000000-0010-0000-0500-000005000000}" name="Column5" totalsRowFunction="custom" dataDxfId="157" totalsRowDxfId="156">
      <calculatedColumnFormula>+C113*D113*E113</calculatedColumnFormula>
      <totalsRowFormula>SUBTOTAL(109,F113:F114)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able12" displayName="Table12" ref="B119:H122" totalsRowCount="1" headerRowDxfId="155" dataDxfId="153" headerRowBorderDxfId="154" tableBorderDxfId="152" totalsRowBorderDxfId="151">
  <autoFilter ref="B119:H121" xr:uid="{00000000-0009-0000-0100-00000C000000}"/>
  <tableColumns count="7">
    <tableColumn id="1" xr3:uid="{00000000-0010-0000-0600-000001000000}" name="Column1" totalsRowLabel="Total" dataDxfId="150" totalsRowDxfId="149"/>
    <tableColumn id="2" xr3:uid="{00000000-0010-0000-0600-000002000000}" name="Column2" dataDxfId="148" totalsRowDxfId="147"/>
    <tableColumn id="3" xr3:uid="{00000000-0010-0000-0600-000003000000}" name="Column3" dataDxfId="146" totalsRowDxfId="145"/>
    <tableColumn id="4" xr3:uid="{00000000-0010-0000-0600-000004000000}" name="Column4" dataDxfId="144" totalsRowDxfId="143"/>
    <tableColumn id="5" xr3:uid="{00000000-0010-0000-0600-000005000000}" name="Column5" dataDxfId="142" totalsRowDxfId="141"/>
    <tableColumn id="6" xr3:uid="{00000000-0010-0000-0600-000006000000}" name="Column6" dataDxfId="140" totalsRowDxfId="139"/>
    <tableColumn id="7" xr3:uid="{00000000-0010-0000-0600-000007000000}" name="Column7" totalsRowFunction="sum" dataDxfId="138" totalsRowDxfId="137">
      <calculatedColumnFormula>C120*D120*E120*F120*G120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able13" displayName="Table13" ref="A129:H135" totalsRowCount="1" headerRowDxfId="136" totalsRowDxfId="135">
  <autoFilter ref="A129:H134" xr:uid="{00000000-0009-0000-0100-00000D000000}"/>
  <tableColumns count="8">
    <tableColumn id="1" xr3:uid="{00000000-0010-0000-0700-000001000000}" name="Column1" totalsRowLabel="Total" dataDxfId="134" totalsRowDxfId="133"/>
    <tableColumn id="2" xr3:uid="{00000000-0010-0000-0700-000002000000}" name="Column2" dataDxfId="132" totalsRowDxfId="131"/>
    <tableColumn id="3" xr3:uid="{00000000-0010-0000-0700-000003000000}" name="Column3" totalsRowFunction="custom" dataDxfId="130" totalsRowDxfId="129">
      <totalsRowFormula>SUBTOTAL(109,C130:C134)</totalsRowFormula>
    </tableColumn>
    <tableColumn id="4" xr3:uid="{00000000-0010-0000-0700-000004000000}" name="Column4" totalsRowFunction="custom" dataDxfId="128" totalsRowDxfId="127">
      <totalsRowFormula>SUBTOTAL(109,D130:D134)</totalsRowFormula>
    </tableColumn>
    <tableColumn id="5" xr3:uid="{00000000-0010-0000-0700-000005000000}" name="Column5" dataDxfId="126" totalsRowDxfId="125"/>
    <tableColumn id="6" xr3:uid="{00000000-0010-0000-0700-000006000000}" name="Column6" dataDxfId="124" totalsRowDxfId="123"/>
    <tableColumn id="7" xr3:uid="{00000000-0010-0000-0700-000007000000}" name="Column7" totalsRowFunction="custom" dataDxfId="122" totalsRowDxfId="121">
      <totalsRowFormula>SUBTOTAL(109,G130:G134)</totalsRowFormula>
    </tableColumn>
    <tableColumn id="8" xr3:uid="{00000000-0010-0000-0700-000008000000}" name="Column8" totalsRowFunction="sum" dataDxfId="120" totalsRowDxfId="119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Table14" displayName="Table14" ref="A138:H153" totalsRowCount="1" tableBorderDxfId="118">
  <autoFilter ref="A138:H152" xr:uid="{00000000-0009-0000-0100-00000E000000}"/>
  <tableColumns count="8">
    <tableColumn id="1" xr3:uid="{00000000-0010-0000-0800-000001000000}" name="Column1" totalsRowLabel="Total"/>
    <tableColumn id="2" xr3:uid="{00000000-0010-0000-0800-000002000000}" name="Column2"/>
    <tableColumn id="3" xr3:uid="{00000000-0010-0000-0800-000003000000}" name="Column3" totalsRowFunction="custom" totalsRowDxfId="117">
      <totalsRowFormula>SUBTOTAL(109,C139:C152)</totalsRowFormula>
    </tableColumn>
    <tableColumn id="4" xr3:uid="{00000000-0010-0000-0800-000004000000}" name="Column4" totalsRowFunction="custom" totalsRowDxfId="116">
      <totalsRowFormula>SUBTOTAL(109,D139:D152)</totalsRowFormula>
    </tableColumn>
    <tableColumn id="5" xr3:uid="{00000000-0010-0000-0800-000005000000}" name="Column5" totalsRowDxfId="115"/>
    <tableColumn id="6" xr3:uid="{00000000-0010-0000-0800-000006000000}" name="Column6" totalsRowDxfId="114"/>
    <tableColumn id="7" xr3:uid="{00000000-0010-0000-0800-000007000000}" name="Column7" totalsRowFunction="custom" totalsRowDxfId="113">
      <totalsRowFormula>SUBTOTAL(109,G139:G152)</totalsRowFormula>
    </tableColumn>
    <tableColumn id="8" xr3:uid="{00000000-0010-0000-0800-000008000000}" name="Column8" totalsRowFunction="custom" totalsRowDxfId="112">
      <totalsRowFormula>SUBTOTAL(109,H139:H152)</totalsRowFormula>
    </tableColumn>
  </tableColumns>
  <tableStyleInfo name="TableStyleLight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Table2" displayName="Table2" ref="B96:F98" totalsRowCount="1" headerRowDxfId="111" dataDxfId="109" headerRowBorderDxfId="110" tableBorderDxfId="108" totalsRowBorderDxfId="107">
  <autoFilter ref="B96:F97" xr:uid="{00000000-0009-0000-0100-000002000000}"/>
  <tableColumns count="5">
    <tableColumn id="1" xr3:uid="{00000000-0010-0000-0900-000001000000}" name="Column1" totalsRowLabel="Total" dataDxfId="106" totalsRowDxfId="105"/>
    <tableColumn id="2" xr3:uid="{00000000-0010-0000-0900-000002000000}" name="Column2" dataDxfId="104" totalsRowDxfId="103"/>
    <tableColumn id="3" xr3:uid="{00000000-0010-0000-0900-000003000000}" name="Column3" dataDxfId="102" totalsRowDxfId="101"/>
    <tableColumn id="4" xr3:uid="{00000000-0010-0000-0900-000004000000}" name="Column4" dataDxfId="100" totalsRowDxfId="99"/>
    <tableColumn id="5" xr3:uid="{00000000-0010-0000-0900-000005000000}" name="Column5" totalsRowFunction="sum" dataDxfId="98" totalsRowDxfId="97">
      <calculatedColumnFormula>C97*D97*E97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A000000}" name="Table5" displayName="Table5" ref="B175:E185" totalsRowCount="1">
  <autoFilter ref="B175:E184" xr:uid="{00000000-0009-0000-0100-000005000000}"/>
  <tableColumns count="4">
    <tableColumn id="1" xr3:uid="{00000000-0010-0000-0A00-000001000000}" name="especificación " totalsRowLabel="Total"/>
    <tableColumn id="2" xr3:uid="{00000000-0010-0000-0A00-000002000000}" name="primer piso(kg)" totalsRowFunction="custom">
      <totalsRowFormula>SUBTOTAL(109,C176:C184)</totalsRowFormula>
    </tableColumn>
    <tableColumn id="3" xr3:uid="{00000000-0010-0000-0A00-000003000000}" name="segundo piso(kg)" totalsRowFunction="custom">
      <totalsRowFormula>SUBTOTAL(109,D176:D184)</totalsRowFormula>
    </tableColumn>
    <tableColumn id="4" xr3:uid="{00000000-0010-0000-0A00-000004000000}" name="Total(kg)" totalsRowFunction="sum">
      <calculatedColumnFormula>C176+D176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B000000}" name="Tabla3" displayName="Tabla3" ref="C17:F26" totalsRowCount="1">
  <autoFilter ref="C17:F25" xr:uid="{00000000-0009-0000-0100-000008000000}"/>
  <tableColumns count="4">
    <tableColumn id="1" xr3:uid="{00000000-0010-0000-0B00-000001000000}" name="Columna1" totalsRowLabel="Total"/>
    <tableColumn id="2" xr3:uid="{00000000-0010-0000-0B00-000002000000}" name="l1"/>
    <tableColumn id="3" xr3:uid="{00000000-0010-0000-0B00-000003000000}" name="l2"/>
    <tableColumn id="4" xr3:uid="{00000000-0010-0000-0B00-000004000000}" name="area" totalsRowFunction="sum" dataDxfId="96" totalsRowDxfId="95">
      <calculatedColumnFormula>Tabla3[[#This Row],[l1]]*Tabla3[[#This Row],[l2]]</calculatedColumnFormula>
    </tableColumn>
  </tableColumns>
  <tableStyleInfo name="TableStyleMedium2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Tabla116" displayName="Tabla116" ref="C5:F14" totalsRowCount="1">
  <autoFilter ref="C5:F13" xr:uid="{00000000-0009-0000-0100-00000F000000}"/>
  <tableColumns count="4">
    <tableColumn id="1" xr3:uid="{00000000-0010-0000-0C00-000001000000}" name="Columna1" totalsRowLabel="Total"/>
    <tableColumn id="2" xr3:uid="{00000000-0010-0000-0C00-000002000000}" name="l1"/>
    <tableColumn id="3" xr3:uid="{00000000-0010-0000-0C00-000003000000}" name="l2"/>
    <tableColumn id="4" xr3:uid="{00000000-0010-0000-0C00-000004000000}" name="area" totalsRowFunction="sum" dataDxfId="94" totalsRowDxfId="93">
      <calculatedColumnFormula>Tabla116[[#This Row],[l1]]*Tabla116[[#This Row],[l2]]</calculatedColumnFormula>
    </tableColumn>
  </tableColumns>
  <tableStyleInfo name="TableStyleMedium2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D000000}" name="Tabla2" displayName="Tabla2" ref="B249:F252" totalsRowCount="1">
  <autoFilter ref="B249:F251" xr:uid="{00000000-0009-0000-0100-000001000000}"/>
  <tableColumns count="5">
    <tableColumn id="1" xr3:uid="{00000000-0010-0000-0D00-000001000000}" name="NIVEL" totalsRowLabel="Total"/>
    <tableColumn id="2" xr3:uid="{00000000-0010-0000-0D00-000002000000}" name="Pi"/>
    <tableColumn id="3" xr3:uid="{00000000-0010-0000-0D00-000003000000}" name="Hi"/>
    <tableColumn id="4" xr3:uid="{00000000-0010-0000-0D00-000004000000}" name="PiHi" totalsRowFunction="sum">
      <calculatedColumnFormula>+C250*D250</calculatedColumnFormula>
    </tableColumn>
    <tableColumn id="5" xr3:uid="{00000000-0010-0000-0D00-000005000000}" name="Fi" dataDxfId="92">
      <calculatedColumnFormula>Tabla2[[#This Row],[PiHi]]*(Tabla2[[#This Row],[Hi]]-C256)/Tabla2[[#Totals],[PiHi]]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B342:H353" totalsRowCount="1" headerRowDxfId="91" headerRowBorderDxfId="90" tableBorderDxfId="89" totalsRowBorderDxfId="88">
  <autoFilter ref="B342:H352" xr:uid="{00000000-0009-0000-0100-000007000000}"/>
  <tableColumns count="7">
    <tableColumn id="1" xr3:uid="{00000000-0010-0000-0E00-000001000000}" name="Muro" totalsRowLabel="Total" dataDxfId="87" totalsRowDxfId="86"/>
    <tableColumn id="2" xr3:uid="{00000000-0010-0000-0E00-000002000000}" name="Kx/E" totalsRowFunction="sum" dataDxfId="85" totalsRowDxfId="84">
      <calculatedColumnFormula>+I317</calculatedColumnFormula>
    </tableColumn>
    <tableColumn id="3" xr3:uid="{00000000-0010-0000-0E00-000003000000}" name="Ky/E" totalsRowFunction="sum" dataDxfId="83" totalsRowDxfId="82">
      <calculatedColumnFormula>+I329</calculatedColumnFormula>
    </tableColumn>
    <tableColumn id="4" xr3:uid="{00000000-0010-0000-0E00-000004000000}" name="Y(m)" dataDxfId="81" totalsRowDxfId="80"/>
    <tableColumn id="5" xr3:uid="{00000000-0010-0000-0E00-000005000000}" name="X(m)" dataDxfId="79" totalsRowDxfId="78"/>
    <tableColumn id="6" xr3:uid="{00000000-0010-0000-0E00-000006000000}" name="(Kx/E)y" totalsRowFunction="sum" dataDxfId="77" totalsRowDxfId="76">
      <calculatedColumnFormula>C343*E343</calculatedColumnFormula>
    </tableColumn>
    <tableColumn id="7" xr3:uid="{00000000-0010-0000-0E00-000007000000}" name="(Ky/E)x" totalsRowFunction="sum" dataDxfId="75" totalsRowDxfId="74">
      <calculatedColumnFormula>D343*F343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a16" displayName="Tabla16" ref="B359:H370" totalsRowCount="1" headerRowDxfId="73" tableBorderDxfId="72">
  <autoFilter ref="B359:H369" xr:uid="{00000000-0009-0000-0100-000010000000}"/>
  <tableColumns count="7">
    <tableColumn id="1" xr3:uid="{00000000-0010-0000-0F00-000001000000}" name="Muro" totalsRowLabel="Total" dataDxfId="71" totalsRowDxfId="70"/>
    <tableColumn id="2" xr3:uid="{00000000-0010-0000-0F00-000002000000}" name="Especificaciones" dataDxfId="69" totalsRowDxfId="68"/>
    <tableColumn id="3" xr3:uid="{00000000-0010-0000-0F00-000003000000}" name="Peso(tn)" totalsRowFunction="sum" dataDxfId="67" totalsRowDxfId="66"/>
    <tableColumn id="4" xr3:uid="{00000000-0010-0000-0F00-000004000000}" name="Y(m)" dataDxfId="65">
      <calculatedColumnFormula>+E343</calculatedColumnFormula>
    </tableColumn>
    <tableColumn id="5" xr3:uid="{00000000-0010-0000-0F00-000005000000}" name="X(m)" dataDxfId="64">
      <calculatedColumnFormula>+F343</calculatedColumnFormula>
    </tableColumn>
    <tableColumn id="6" xr3:uid="{00000000-0010-0000-0F00-000006000000}" name="PY" totalsRowFunction="sum" dataDxfId="63">
      <calculatedColumnFormula>+Tabla16[[#This Row],[Peso(tn)]]*Tabla16[[#This Row],[Y(m)]]</calculatedColumnFormula>
    </tableColumn>
    <tableColumn id="7" xr3:uid="{00000000-0010-0000-0F00-000007000000}" name="PX" totalsRowFunction="sum" dataDxfId="62">
      <calculatedColumnFormula>+Tabla16[[#This Row],[Peso(tn)]]*Tabla16[[#This Row],[X(m)]]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a718" displayName="Tabla718" ref="B451:H473" totalsRowCount="1" headerRowDxfId="61" headerRowBorderDxfId="60" tableBorderDxfId="59" totalsRowBorderDxfId="58">
  <autoFilter ref="B451:H472" xr:uid="{00000000-0009-0000-0100-000011000000}"/>
  <tableColumns count="7">
    <tableColumn id="1" xr3:uid="{00000000-0010-0000-1000-000001000000}" name="Muro" totalsRowLabel="Total" dataDxfId="57" totalsRowDxfId="56">
      <calculatedColumnFormula>+B427</calculatedColumnFormula>
    </tableColumn>
    <tableColumn id="2" xr3:uid="{00000000-0010-0000-1000-000002000000}" name="Kx/E" totalsRowFunction="sum" dataDxfId="55" totalsRowDxfId="54">
      <calculatedColumnFormula>+I404</calculatedColumnFormula>
    </tableColumn>
    <tableColumn id="3" xr3:uid="{00000000-0010-0000-1000-000003000000}" name="Ky/E" totalsRowFunction="sum" dataDxfId="53" totalsRowDxfId="52">
      <calculatedColumnFormula>+I427</calculatedColumnFormula>
    </tableColumn>
    <tableColumn id="4" xr3:uid="{00000000-0010-0000-1000-000004000000}" name="Y(m)" dataDxfId="51" totalsRowDxfId="50"/>
    <tableColumn id="5" xr3:uid="{00000000-0010-0000-1000-000005000000}" name="X(m)" dataDxfId="49" totalsRowDxfId="48"/>
    <tableColumn id="6" xr3:uid="{00000000-0010-0000-1000-000006000000}" name="(Kx/E)y" totalsRowFunction="sum" dataDxfId="47" totalsRowDxfId="46">
      <calculatedColumnFormula>C452*E452</calculatedColumnFormula>
    </tableColumn>
    <tableColumn id="7" xr3:uid="{00000000-0010-0000-1000-000007000000}" name="(Ky/E)x" totalsRowFunction="sum" dataDxfId="45" totalsRowDxfId="44">
      <calculatedColumnFormula>D452*F452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a1619" displayName="Tabla1619" ref="B479:H501" totalsRowCount="1" headerRowDxfId="43" tableBorderDxfId="42">
  <autoFilter ref="B479:H500" xr:uid="{00000000-0009-0000-0100-000012000000}"/>
  <tableColumns count="7">
    <tableColumn id="1" xr3:uid="{00000000-0010-0000-1100-000001000000}" name="Muro" totalsRowLabel="Total" dataDxfId="41" totalsRowDxfId="40">
      <calculatedColumnFormula>+B452</calculatedColumnFormula>
    </tableColumn>
    <tableColumn id="2" xr3:uid="{00000000-0010-0000-1100-000002000000}" name="Especificaciones" dataDxfId="39" totalsRowDxfId="38"/>
    <tableColumn id="3" xr3:uid="{00000000-0010-0000-1100-000003000000}" name="Peso(tn)" totalsRowFunction="sum" dataDxfId="37" totalsRowDxfId="36"/>
    <tableColumn id="4" xr3:uid="{00000000-0010-0000-1100-000004000000}" name="Y(m)" dataDxfId="35">
      <calculatedColumnFormula>+E452</calculatedColumnFormula>
    </tableColumn>
    <tableColumn id="5" xr3:uid="{00000000-0010-0000-1100-000005000000}" name="X(m)" dataDxfId="34">
      <calculatedColumnFormula>+F452</calculatedColumnFormula>
    </tableColumn>
    <tableColumn id="6" xr3:uid="{00000000-0010-0000-1100-000006000000}" name="PY" totalsRowFunction="sum" dataDxfId="33">
      <calculatedColumnFormula>+Tabla1619[[#This Row],[Peso(tn)]]*Tabla1619[[#This Row],[Y(m)]]</calculatedColumnFormula>
    </tableColumn>
    <tableColumn id="7" xr3:uid="{00000000-0010-0000-1100-000007000000}" name="PX" totalsRowFunction="sum" dataDxfId="32">
      <calculatedColumnFormula>+Tabla1619[[#This Row],[Peso(tn)]]*Tabla1619[[#This Row],[X(m)]]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la19" displayName="Tabla19" ref="A579:J590" totalsRowCount="1">
  <autoFilter ref="A579:J589" xr:uid="{00000000-0009-0000-0100-000013000000}"/>
  <tableColumns count="10">
    <tableColumn id="1" xr3:uid="{00000000-0010-0000-1200-000001000000}" name="Muro" totalsRowLabel="Total"/>
    <tableColumn id="2" xr3:uid="{00000000-0010-0000-1200-000002000000}" name="Kx/E" totalsRowFunction="sum" dataDxfId="31" totalsRowDxfId="30">
      <calculatedColumnFormula>+I317</calculatedColumnFormula>
    </tableColumn>
    <tableColumn id="3" xr3:uid="{00000000-0010-0000-1200-000003000000}" name="(Kx/E)(F1)/(∑Kx/E)" dataDxfId="29">
      <calculatedColumnFormula>+Tabla19[[#This Row],[Kx/E]]*$F$250/Tabla19[[#Totals],[Kx/E]]</calculatedColumnFormula>
    </tableColumn>
    <tableColumn id="4" xr3:uid="{00000000-0010-0000-1200-000004000000}" name="y(m)" dataDxfId="28">
      <calculatedColumnFormula>+E343</calculatedColumnFormula>
    </tableColumn>
    <tableColumn id="5" xr3:uid="{00000000-0010-0000-1200-000005000000}" name="y ̅=y-yCR" dataDxfId="27">
      <calculatedColumnFormula>+D580-$G$355</calculatedColumnFormula>
    </tableColumn>
    <tableColumn id="6" xr3:uid="{00000000-0010-0000-1200-000006000000}" name="(Kx/E)Ypro">
      <calculatedColumnFormula>+B580*E580</calculatedColumnFormula>
    </tableColumn>
    <tableColumn id="7" xr3:uid="{00000000-0010-0000-1200-000007000000}" name="(K/E)*Ypro2" totalsRowFunction="sum">
      <calculatedColumnFormula>+B580*POWER(E580,2)</calculatedColumnFormula>
    </tableColumn>
    <tableColumn id="8" xr3:uid="{00000000-0010-0000-1200-000008000000}" name="(Kx/EJ)YproM'tx1" dataDxfId="26">
      <calculatedColumnFormula>+Tabla19[[#This Row],[(Kx/E)Ypro]]*$B$593/$E$593</calculatedColumnFormula>
    </tableColumn>
    <tableColumn id="9" xr3:uid="{00000000-0010-0000-1200-000009000000}" name="(Kx/EJ)YproM''tx2" dataDxfId="25">
      <calculatedColumnFormula>+Tabla19[[#This Row],[(Kx/E)Ypro]]*$B$594/$E$593</calculatedColumnFormula>
    </tableColumn>
    <tableColumn id="10" xr3:uid="{00000000-0010-0000-1200-00000A000000}" name="V(final)" totalsRowFunction="count" dataDxfId="24">
      <calculatedColumnFormula>+Tabla19[[#This Row],[(Kx/E)(F1)/(∑Kx/E)]]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la20" displayName="Tabla20" ref="A597:J608" totalsRowCount="1">
  <autoFilter ref="A597:J607" xr:uid="{00000000-0009-0000-0100-000014000000}"/>
  <tableColumns count="10">
    <tableColumn id="1" xr3:uid="{00000000-0010-0000-1300-000001000000}" name="Muro" totalsRowLabel="Total"/>
    <tableColumn id="2" xr3:uid="{00000000-0010-0000-1300-000002000000}" name="Ky/E" totalsRowFunction="sum" dataDxfId="23" totalsRowDxfId="22">
      <calculatedColumnFormula>+I329</calculatedColumnFormula>
    </tableColumn>
    <tableColumn id="3" xr3:uid="{00000000-0010-0000-1300-000003000000}" name="(Ky/E)(F1)/(∑Ky/E)" dataDxfId="21">
      <calculatedColumnFormula>+Tabla20[[#This Row],[Ky/E]]*$B$610/Tabla20[[#Totals],[Ky/E]]</calculatedColumnFormula>
    </tableColumn>
    <tableColumn id="4" xr3:uid="{00000000-0010-0000-1300-000004000000}" name="x(m)" dataDxfId="20">
      <calculatedColumnFormula>+F343</calculatedColumnFormula>
    </tableColumn>
    <tableColumn id="5" xr3:uid="{00000000-0010-0000-1300-000005000000}" name="X ̅=X-XCR" dataDxfId="19">
      <calculatedColumnFormula>+D598-$D$355</calculatedColumnFormula>
    </tableColumn>
    <tableColumn id="6" xr3:uid="{00000000-0010-0000-1300-000006000000}" name="(Ky/E)X ̅">
      <calculatedColumnFormula>+B598*E598</calculatedColumnFormula>
    </tableColumn>
    <tableColumn id="7" xr3:uid="{00000000-0010-0000-1300-000007000000}" name="(Ky/E)*X ̅ 2" totalsRowFunction="sum">
      <calculatedColumnFormula>+B598*POWER(E598,2)</calculatedColumnFormula>
    </tableColumn>
    <tableColumn id="8" xr3:uid="{00000000-0010-0000-1300-000008000000}" name="(Ky/EJ)X ̅ M'ty1" dataDxfId="18">
      <calculatedColumnFormula>+Tabla20[[#This Row],[Ky/E]]*Tabla20[[#This Row],[X ̅=X-XCR]]*$B$611/$E$611</calculatedColumnFormula>
    </tableColumn>
    <tableColumn id="9" xr3:uid="{00000000-0010-0000-1300-000009000000}" name="(Ky/EJ)X ̅ M''ty2" dataDxfId="17">
      <calculatedColumnFormula>+Tabla20[[#This Row],[Ky/E]]*Tabla20[[#This Row],[X ̅=X-XCR]]*$B$612/$E$611</calculatedColumnFormula>
    </tableColumn>
    <tableColumn id="10" xr3:uid="{00000000-0010-0000-1300-00000A000000}" name="V(final)" totalsRowFunction="count" dataDxfId="16">
      <calculatedColumnFormula>+Tabla20[[#This Row],[(Ky/E)(F1)/(∑Ky/E)]]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abla21" displayName="Tabla21" ref="A617:J639" totalsRowCount="1">
  <autoFilter ref="A617:J638" xr:uid="{00000000-0009-0000-0100-000015000000}"/>
  <tableColumns count="10">
    <tableColumn id="1" xr3:uid="{00000000-0010-0000-1400-000001000000}" name="Muro" totalsRowLabel="Total"/>
    <tableColumn id="2" xr3:uid="{00000000-0010-0000-1400-000002000000}" name="Kx/E" totalsRowFunction="sum" dataDxfId="15" totalsRowDxfId="14">
      <calculatedColumnFormula>+I404</calculatedColumnFormula>
    </tableColumn>
    <tableColumn id="3" xr3:uid="{00000000-0010-0000-1400-000003000000}" name="(Kx/E)(F1)/(∑Kx/E)" dataDxfId="13">
      <calculatedColumnFormula>+Tabla21[[#This Row],[Kx/E]]*$B$641/Tabla21[[#Totals],[Kx/E]]</calculatedColumnFormula>
    </tableColumn>
    <tableColumn id="4" xr3:uid="{00000000-0010-0000-1400-000004000000}" name="y(m)" dataDxfId="12">
      <calculatedColumnFormula>+E452</calculatedColumnFormula>
    </tableColumn>
    <tableColumn id="5" xr3:uid="{00000000-0010-0000-1400-000005000000}" name="y ̅=y-yCR" dataDxfId="11">
      <calculatedColumnFormula>+D618-$G$355</calculatedColumnFormula>
    </tableColumn>
    <tableColumn id="6" xr3:uid="{00000000-0010-0000-1400-000006000000}" name="(Kx/E)Ypro">
      <calculatedColumnFormula>+B618*E618</calculatedColumnFormula>
    </tableColumn>
    <tableColumn id="7" xr3:uid="{00000000-0010-0000-1400-000007000000}" name="(K/E)*Ypro2" totalsRowFunction="sum">
      <calculatedColumnFormula>+B618*POWER(E618,2)</calculatedColumnFormula>
    </tableColumn>
    <tableColumn id="8" xr3:uid="{00000000-0010-0000-1400-000008000000}" name="(Kx/EJ)YproM'tx1" dataDxfId="10">
      <calculatedColumnFormula>+Tabla21[[#This Row],[Kx/E]]*Tabla21[[#This Row],[y ̅=y-yCR]]*$B$642/$D$642</calculatedColumnFormula>
    </tableColumn>
    <tableColumn id="9" xr3:uid="{00000000-0010-0000-1400-000009000000}" name="(Kx/EJ)YproM''tx2" dataDxfId="9">
      <calculatedColumnFormula>+Tabla21[[#This Row],[Kx/E]]*Tabla21[[#This Row],[y ̅=y-yCR]]*$B$643/$D$642</calculatedColumnFormula>
    </tableColumn>
    <tableColumn id="10" xr3:uid="{00000000-0010-0000-1400-00000A000000}" name="V(final)" totalsRowFunction="count">
      <calculatedColumnFormula>+Tabla19[[#This Row],[(Kx/E)(F1)/(∑Kx/E)]]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abla2123" displayName="Tabla2123" ref="A646:J668" totalsRowCount="1">
  <autoFilter ref="A646:J667" xr:uid="{00000000-0009-0000-0100-000016000000}"/>
  <tableColumns count="10">
    <tableColumn id="1" xr3:uid="{00000000-0010-0000-1500-000001000000}" name="Muro" totalsRowLabel="Total"/>
    <tableColumn id="2" xr3:uid="{00000000-0010-0000-1500-000002000000}" name="Ky/E" totalsRowFunction="sum" dataDxfId="8" totalsRowDxfId="7">
      <calculatedColumnFormula>+I433</calculatedColumnFormula>
    </tableColumn>
    <tableColumn id="3" xr3:uid="{00000000-0010-0000-1500-000003000000}" name="(Kx/E)(F1)/(∑Kx/E)" dataDxfId="6">
      <calculatedColumnFormula>+Tabla2123[[#This Row],[Ky/E]]*$B$641/Tabla2123[[#Totals],[Ky/E]]</calculatedColumnFormula>
    </tableColumn>
    <tableColumn id="4" xr3:uid="{00000000-0010-0000-1500-000004000000}" name="y(m)" dataDxfId="5">
      <calculatedColumnFormula>+E481</calculatedColumnFormula>
    </tableColumn>
    <tableColumn id="5" xr3:uid="{00000000-0010-0000-1500-000005000000}" name="y ̅=y-yCR" dataDxfId="4">
      <calculatedColumnFormula>+D647-$G$355</calculatedColumnFormula>
    </tableColumn>
    <tableColumn id="6" xr3:uid="{00000000-0010-0000-1500-000006000000}" name="(Kx/E)Ypro">
      <calculatedColumnFormula>+B647*E647</calculatedColumnFormula>
    </tableColumn>
    <tableColumn id="7" xr3:uid="{00000000-0010-0000-1500-000007000000}" name="(K/E)*Ypro2" totalsRowFunction="sum">
      <calculatedColumnFormula>+B647*POWER(E647,2)</calculatedColumnFormula>
    </tableColumn>
    <tableColumn id="8" xr3:uid="{00000000-0010-0000-1500-000008000000}" name="(Kx/EJ)YproM'tx1" dataDxfId="3">
      <calculatedColumnFormula>+Tabla2123[[#This Row],[Ky/E]]*Tabla2123[[#This Row],[y ̅=y-yCR]]*$B$671/$D$671</calculatedColumnFormula>
    </tableColumn>
    <tableColumn id="9" xr3:uid="{00000000-0010-0000-1500-000009000000}" name="(Kx/EJ)YproM''tx2" dataDxfId="2">
      <calculatedColumnFormula>+Tabla2123[[#This Row],[Ky/E]]*Tabla2123[[#This Row],[y ̅=y-yCR]]*$B$672/$D$671</calculatedColumnFormula>
    </tableColumn>
    <tableColumn id="10" xr3:uid="{00000000-0010-0000-1500-00000A000000}" name="V(final)" totalsRowFunction="count">
      <calculatedColumnFormula>+Tabla19[[#This Row],[(Kx/E)(F1)/(∑Kx/E)]]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abla23" displayName="Tabla23" ref="B730:F740" totalsRowShown="0">
  <autoFilter ref="B730:F740" xr:uid="{00000000-0009-0000-0100-000017000000}"/>
  <tableColumns count="5">
    <tableColumn id="1" xr3:uid="{00000000-0010-0000-1600-000001000000}" name="Muro"/>
    <tableColumn id="2" xr3:uid="{00000000-0010-0000-1600-000002000000}" name="Área(cm2)"/>
    <tableColumn id="3" xr3:uid="{00000000-0010-0000-1600-000003000000}" name="Peso acumulado de losa (P1)(kg)"/>
    <tableColumn id="4" xr3:uid="{00000000-0010-0000-1600-000004000000}" name="Área acumulada de losa (P2)(kg)"/>
    <tableColumn id="5" xr3:uid="{00000000-0010-0000-1600-000005000000}" name="fd=p1+p2/area(kg/cm2)" dataDxfId="1">
      <calculatedColumnFormula>+IF(Tabla23[[#This Row],[Peso acumulado de losa (P1)(kg)]]="-",Tabla23[[#This Row],[Área acumulada de losa (P2)(kg)]]/Tabla23[[#This Row],[Área(cm2)]],(Tabla23[[#This Row],[Peso acumulado de losa (P1)(kg)]]+Tabla23[[#This Row],[Área acumulada de losa (P2)(kg)]])/Tabla23[[#This Row],[Área(cm2)]])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Tabla26" displayName="Tabla26" ref="B742:F763" totalsRowShown="0">
  <autoFilter ref="B742:F763" xr:uid="{00000000-0009-0000-0100-00001A000000}"/>
  <tableColumns count="5">
    <tableColumn id="1" xr3:uid="{00000000-0010-0000-1700-000001000000}" name="Muro"/>
    <tableColumn id="2" xr3:uid="{00000000-0010-0000-1700-000002000000}" name="Área(cm2)"/>
    <tableColumn id="3" xr3:uid="{00000000-0010-0000-1700-000003000000}" name="Peso acumulado de losa (P1)(kg)"/>
    <tableColumn id="4" xr3:uid="{00000000-0010-0000-1700-000004000000}" name="Área acumulada de losa (P2)(kg)"/>
    <tableColumn id="5" xr3:uid="{00000000-0010-0000-1700-000005000000}" name="fd=p1+p2/area(kg/cm2)" dataDxfId="0">
      <calculatedColumnFormula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609" row="3">
    <wetp:webextensionref xmlns:r="http://schemas.openxmlformats.org/officeDocument/2006/relationships" r:id="rId2"/>
  </wetp:taskpane>
  <wetp:taskpane dockstate="right" visibility="0" width="350" row="4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16284304-46E0-4EC1-997E-C3869053B1F1}">
  <we:reference id="wa104380862" version="1.5.0.0" store="es-ES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E44128F6-FE1E-4EDC-B839-B941A90447F9}">
  <we:reference id="wa200005107" version="1.1.0.0" store="es-ES" storeType="OMEX"/>
  <we:alternateReferences>
    <we:reference id="WA200005107" version="1.1.0.0" store="WA200005107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3.xml><?xml version="1.0" encoding="utf-8"?>
<we:webextension xmlns:we="http://schemas.microsoft.com/office/webextensions/webextension/2010/11" id="{C1D97682-5323-4068-A427-F80D066D8CEC}">
  <we:reference id="wa104380263" version="1.1.3.0" store="es-ES" storeType="OMEX"/>
  <we:alternateReferences>
    <we:reference id="WA104380263" version="1.1.3.0" store="WA1043802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table" Target="../tables/table5.xml"/><Relationship Id="rId18" Type="http://schemas.openxmlformats.org/officeDocument/2006/relationships/table" Target="../tables/table10.xml"/><Relationship Id="rId26" Type="http://schemas.openxmlformats.org/officeDocument/2006/relationships/table" Target="../tables/table18.xml"/><Relationship Id="rId3" Type="http://schemas.openxmlformats.org/officeDocument/2006/relationships/hyperlink" Target="mailto:1@%200.05m,4%20@%200.1m" TargetMode="External"/><Relationship Id="rId21" Type="http://schemas.openxmlformats.org/officeDocument/2006/relationships/table" Target="../tables/table13.xml"/><Relationship Id="rId7" Type="http://schemas.openxmlformats.org/officeDocument/2006/relationships/control" Target="../activeX/activeX1.xml"/><Relationship Id="rId12" Type="http://schemas.openxmlformats.org/officeDocument/2006/relationships/table" Target="../tables/table4.xml"/><Relationship Id="rId17" Type="http://schemas.openxmlformats.org/officeDocument/2006/relationships/table" Target="../tables/table9.xml"/><Relationship Id="rId25" Type="http://schemas.openxmlformats.org/officeDocument/2006/relationships/table" Target="../tables/table17.xml"/><Relationship Id="rId2" Type="http://schemas.openxmlformats.org/officeDocument/2006/relationships/hyperlink" Target="mailto:1@%200.05m,4%20@%200.1m" TargetMode="External"/><Relationship Id="rId16" Type="http://schemas.openxmlformats.org/officeDocument/2006/relationships/table" Target="../tables/table8.xml"/><Relationship Id="rId20" Type="http://schemas.openxmlformats.org/officeDocument/2006/relationships/table" Target="../tables/table12.xml"/><Relationship Id="rId29" Type="http://schemas.openxmlformats.org/officeDocument/2006/relationships/table" Target="../tables/table21.xml"/><Relationship Id="rId1" Type="http://schemas.openxmlformats.org/officeDocument/2006/relationships/hyperlink" Target="mailto:1@%200.05m,4%20@%200.1m" TargetMode="External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3.xml"/><Relationship Id="rId24" Type="http://schemas.openxmlformats.org/officeDocument/2006/relationships/table" Target="../tables/table16.xml"/><Relationship Id="rId32" Type="http://schemas.openxmlformats.org/officeDocument/2006/relationships/table" Target="../tables/table24.xml"/><Relationship Id="rId5" Type="http://schemas.openxmlformats.org/officeDocument/2006/relationships/drawing" Target="../drawings/drawing1.xml"/><Relationship Id="rId15" Type="http://schemas.openxmlformats.org/officeDocument/2006/relationships/table" Target="../tables/table7.xml"/><Relationship Id="rId23" Type="http://schemas.openxmlformats.org/officeDocument/2006/relationships/table" Target="../tables/table15.xml"/><Relationship Id="rId28" Type="http://schemas.openxmlformats.org/officeDocument/2006/relationships/table" Target="../tables/table20.xml"/><Relationship Id="rId10" Type="http://schemas.openxmlformats.org/officeDocument/2006/relationships/table" Target="../tables/table2.xml"/><Relationship Id="rId19" Type="http://schemas.openxmlformats.org/officeDocument/2006/relationships/table" Target="../tables/table11.xml"/><Relationship Id="rId31" Type="http://schemas.openxmlformats.org/officeDocument/2006/relationships/table" Target="../tables/table23.xml"/><Relationship Id="rId4" Type="http://schemas.openxmlformats.org/officeDocument/2006/relationships/printerSettings" Target="../printerSettings/printerSettings1.bin"/><Relationship Id="rId9" Type="http://schemas.openxmlformats.org/officeDocument/2006/relationships/table" Target="../tables/table1.xml"/><Relationship Id="rId14" Type="http://schemas.openxmlformats.org/officeDocument/2006/relationships/table" Target="../tables/table6.xml"/><Relationship Id="rId22" Type="http://schemas.openxmlformats.org/officeDocument/2006/relationships/table" Target="../tables/table14.xml"/><Relationship Id="rId27" Type="http://schemas.openxmlformats.org/officeDocument/2006/relationships/table" Target="../tables/table19.xml"/><Relationship Id="rId30" Type="http://schemas.openxmlformats.org/officeDocument/2006/relationships/table" Target="../tables/table2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M1443"/>
  <sheetViews>
    <sheetView view="pageBreakPreview" topLeftCell="A1420" zoomScaleNormal="100" zoomScaleSheetLayoutView="100" workbookViewId="0">
      <selection activeCell="E1445" sqref="E1445"/>
    </sheetView>
  </sheetViews>
  <sheetFormatPr baseColWidth="10" defaultColWidth="8.88671875" defaultRowHeight="14.4" x14ac:dyDescent="0.3"/>
  <cols>
    <col min="1" max="1" width="10.44140625" customWidth="1"/>
    <col min="2" max="2" width="14.44140625" customWidth="1"/>
    <col min="3" max="3" width="18.44140625" customWidth="1"/>
    <col min="4" max="4" width="31.44140625" customWidth="1"/>
    <col min="5" max="5" width="30.88671875" customWidth="1"/>
    <col min="6" max="6" width="22.6640625" customWidth="1"/>
    <col min="7" max="7" width="14.44140625" customWidth="1"/>
    <col min="8" max="8" width="18.109375" customWidth="1"/>
    <col min="9" max="9" width="18.44140625" customWidth="1"/>
    <col min="10" max="10" width="9" customWidth="1"/>
  </cols>
  <sheetData>
    <row r="2" spans="1:6" x14ac:dyDescent="0.3">
      <c r="B2" s="19" t="s">
        <v>0</v>
      </c>
    </row>
    <row r="3" spans="1:6" s="13" customFormat="1" x14ac:dyDescent="0.3">
      <c r="A3" s="13" t="s">
        <v>1</v>
      </c>
    </row>
    <row r="4" spans="1:6" x14ac:dyDescent="0.3">
      <c r="C4" s="17" t="s">
        <v>2</v>
      </c>
      <c r="D4" s="17"/>
      <c r="E4" s="17"/>
      <c r="F4" s="17"/>
    </row>
    <row r="5" spans="1:6" x14ac:dyDescent="0.3">
      <c r="C5" t="s">
        <v>3</v>
      </c>
      <c r="D5" t="s">
        <v>4</v>
      </c>
      <c r="E5" t="s">
        <v>5</v>
      </c>
      <c r="F5" t="s">
        <v>6</v>
      </c>
    </row>
    <row r="6" spans="1:6" x14ac:dyDescent="0.3">
      <c r="C6" t="s">
        <v>7</v>
      </c>
      <c r="D6">
        <v>3.875</v>
      </c>
      <c r="E6">
        <v>3.55</v>
      </c>
      <c r="F6" s="12">
        <f>Tabla116[[#This Row],[l1]]*Tabla116[[#This Row],[l2]]</f>
        <v>13.75625</v>
      </c>
    </row>
    <row r="7" spans="1:6" x14ac:dyDescent="0.3">
      <c r="C7" t="s">
        <v>8</v>
      </c>
      <c r="D7">
        <v>3.125</v>
      </c>
      <c r="E7">
        <v>3.55</v>
      </c>
      <c r="F7" s="12">
        <f>Tabla116[[#This Row],[l1]]*Tabla116[[#This Row],[l2]]</f>
        <v>11.09375</v>
      </c>
    </row>
    <row r="8" spans="1:6" x14ac:dyDescent="0.3">
      <c r="C8" t="s">
        <v>9</v>
      </c>
      <c r="D8">
        <v>3.25</v>
      </c>
      <c r="E8">
        <v>1.9</v>
      </c>
      <c r="F8" s="12">
        <f>Tabla116[[#This Row],[l1]]*Tabla116[[#This Row],[l2]]</f>
        <v>6.1749999999999998</v>
      </c>
    </row>
    <row r="9" spans="1:6" x14ac:dyDescent="0.3">
      <c r="C9" t="s">
        <v>10</v>
      </c>
      <c r="D9">
        <v>3.25</v>
      </c>
      <c r="E9">
        <v>2.5499999999999998</v>
      </c>
      <c r="F9" s="12">
        <f>Tabla116[[#This Row],[l1]]*Tabla116[[#This Row],[l2]]</f>
        <v>8.2874999999999996</v>
      </c>
    </row>
    <row r="10" spans="1:6" x14ac:dyDescent="0.3">
      <c r="C10" t="s">
        <v>11</v>
      </c>
      <c r="D10">
        <v>3.25</v>
      </c>
      <c r="E10">
        <v>1</v>
      </c>
      <c r="F10" s="12">
        <f>Tabla116[[#This Row],[l1]]*Tabla116[[#This Row],[l2]]</f>
        <v>3.25</v>
      </c>
    </row>
    <row r="11" spans="1:6" x14ac:dyDescent="0.3">
      <c r="C11" t="s">
        <v>12</v>
      </c>
      <c r="D11">
        <v>4</v>
      </c>
      <c r="E11">
        <v>1</v>
      </c>
      <c r="F11" s="12">
        <f>Tabla116[[#This Row],[l1]]*Tabla116[[#This Row],[l2]]</f>
        <v>4</v>
      </c>
    </row>
    <row r="12" spans="1:6" x14ac:dyDescent="0.3">
      <c r="C12" t="s">
        <v>13</v>
      </c>
      <c r="D12">
        <v>4</v>
      </c>
      <c r="E12">
        <v>2.5</v>
      </c>
      <c r="F12" s="12">
        <f>Tabla116[[#This Row],[l1]]*Tabla116[[#This Row],[l2]]</f>
        <v>10</v>
      </c>
    </row>
    <row r="13" spans="1:6" x14ac:dyDescent="0.3">
      <c r="C13" t="s">
        <v>14</v>
      </c>
      <c r="D13">
        <v>4</v>
      </c>
      <c r="E13">
        <v>1.9</v>
      </c>
      <c r="F13" s="12">
        <f>Tabla116[[#This Row],[l1]]*Tabla116[[#This Row],[l2]]</f>
        <v>7.6</v>
      </c>
    </row>
    <row r="14" spans="1:6" x14ac:dyDescent="0.3">
      <c r="C14" t="s">
        <v>15</v>
      </c>
      <c r="F14" s="15">
        <f>SUBTOTAL(109,Tabla116[area])</f>
        <v>64.162499999999994</v>
      </c>
    </row>
    <row r="16" spans="1:6" x14ac:dyDescent="0.3">
      <c r="C16" s="17" t="s">
        <v>16</v>
      </c>
      <c r="D16" s="17"/>
      <c r="E16" s="17"/>
      <c r="F16" s="17"/>
    </row>
    <row r="17" spans="2:6" x14ac:dyDescent="0.3">
      <c r="C17" t="s">
        <v>3</v>
      </c>
      <c r="D17" t="s">
        <v>4</v>
      </c>
      <c r="E17" t="s">
        <v>5</v>
      </c>
      <c r="F17" t="s">
        <v>6</v>
      </c>
    </row>
    <row r="18" spans="2:6" x14ac:dyDescent="0.3">
      <c r="C18" t="s">
        <v>17</v>
      </c>
      <c r="D18">
        <v>3.875</v>
      </c>
      <c r="E18">
        <v>3.55</v>
      </c>
      <c r="F18" s="12">
        <f>Tabla3[[#This Row],[l1]]*Tabla3[[#This Row],[l2]]</f>
        <v>13.75625</v>
      </c>
    </row>
    <row r="19" spans="2:6" x14ac:dyDescent="0.3">
      <c r="C19" t="s">
        <v>18</v>
      </c>
      <c r="D19">
        <v>3.125</v>
      </c>
      <c r="E19">
        <v>3.55</v>
      </c>
      <c r="F19" s="12">
        <f>Tabla3[[#This Row],[l1]]*Tabla3[[#This Row],[l2]]</f>
        <v>11.09375</v>
      </c>
    </row>
    <row r="20" spans="2:6" x14ac:dyDescent="0.3">
      <c r="C20" t="s">
        <v>19</v>
      </c>
      <c r="D20">
        <v>3.125</v>
      </c>
      <c r="E20">
        <v>1.9</v>
      </c>
      <c r="F20" s="12">
        <f>Tabla3[[#This Row],[l1]]*Tabla3[[#This Row],[l2]]</f>
        <v>5.9375</v>
      </c>
    </row>
    <row r="21" spans="2:6" x14ac:dyDescent="0.3">
      <c r="C21" t="s">
        <v>20</v>
      </c>
      <c r="D21">
        <v>3.125</v>
      </c>
      <c r="E21">
        <v>2.5499999999999998</v>
      </c>
      <c r="F21" s="12">
        <f>Tabla3[[#This Row],[l1]]*Tabla3[[#This Row],[l2]]</f>
        <v>7.9687499999999991</v>
      </c>
    </row>
    <row r="22" spans="2:6" x14ac:dyDescent="0.3">
      <c r="C22" t="s">
        <v>21</v>
      </c>
      <c r="D22">
        <v>3.25</v>
      </c>
      <c r="E22">
        <v>1</v>
      </c>
      <c r="F22" s="12">
        <f>Tabla3[[#This Row],[l1]]*Tabla3[[#This Row],[l2]]</f>
        <v>3.25</v>
      </c>
    </row>
    <row r="23" spans="2:6" x14ac:dyDescent="0.3">
      <c r="C23" t="s">
        <v>22</v>
      </c>
      <c r="D23">
        <v>4</v>
      </c>
      <c r="E23">
        <v>1</v>
      </c>
      <c r="F23" s="12">
        <f>Tabla3[[#This Row],[l1]]*Tabla3[[#This Row],[l2]]</f>
        <v>4</v>
      </c>
    </row>
    <row r="24" spans="2:6" x14ac:dyDescent="0.3">
      <c r="C24" t="s">
        <v>23</v>
      </c>
      <c r="D24">
        <v>3.875</v>
      </c>
      <c r="E24">
        <v>2.5499999999999998</v>
      </c>
      <c r="F24" s="12">
        <f>Tabla3[[#This Row],[l1]]*Tabla3[[#This Row],[l2]]</f>
        <v>9.8812499999999996</v>
      </c>
    </row>
    <row r="25" spans="2:6" x14ac:dyDescent="0.3">
      <c r="C25" t="s">
        <v>24</v>
      </c>
      <c r="D25">
        <v>3.875</v>
      </c>
      <c r="E25">
        <v>1.9</v>
      </c>
      <c r="F25" s="12">
        <f>Tabla3[[#This Row],[l1]]*Tabla3[[#This Row],[l2]]</f>
        <v>7.3624999999999998</v>
      </c>
    </row>
    <row r="26" spans="2:6" x14ac:dyDescent="0.3">
      <c r="C26" t="s">
        <v>15</v>
      </c>
      <c r="F26" s="15">
        <f>SUBTOTAL(109,Tabla3[area])</f>
        <v>63.25</v>
      </c>
    </row>
    <row r="28" spans="2:6" x14ac:dyDescent="0.3">
      <c r="B28" t="s">
        <v>25</v>
      </c>
      <c r="C28" s="14">
        <v>300</v>
      </c>
      <c r="D28" t="s">
        <v>26</v>
      </c>
    </row>
    <row r="29" spans="2:6" x14ac:dyDescent="0.3">
      <c r="B29" t="s">
        <v>27</v>
      </c>
      <c r="C29">
        <f>+Tabla116[[#Totals],[area]]</f>
        <v>64.162499999999994</v>
      </c>
      <c r="D29">
        <f>+C28</f>
        <v>300</v>
      </c>
      <c r="E29" s="21">
        <f>+C29*D29</f>
        <v>19248.75</v>
      </c>
      <c r="F29" s="19" t="s">
        <v>28</v>
      </c>
    </row>
    <row r="30" spans="2:6" x14ac:dyDescent="0.3">
      <c r="B30" t="s">
        <v>29</v>
      </c>
      <c r="C30">
        <f>+Tabla3[[#Totals],[area]]</f>
        <v>63.25</v>
      </c>
      <c r="D30">
        <f>+C28</f>
        <v>300</v>
      </c>
      <c r="E30" s="21">
        <f>+C30*D30</f>
        <v>18975</v>
      </c>
      <c r="F30" s="19" t="s">
        <v>28</v>
      </c>
    </row>
    <row r="31" spans="2:6" x14ac:dyDescent="0.3">
      <c r="B31" t="s">
        <v>30</v>
      </c>
    </row>
    <row r="32" spans="2:6" x14ac:dyDescent="0.3">
      <c r="B32" t="s">
        <v>31</v>
      </c>
    </row>
    <row r="34" spans="1:13" s="13" customFormat="1" x14ac:dyDescent="0.3">
      <c r="A34" s="13" t="s">
        <v>32</v>
      </c>
    </row>
    <row r="35" spans="1:13" x14ac:dyDescent="0.3">
      <c r="B35" t="s">
        <v>33</v>
      </c>
    </row>
    <row r="36" spans="1:13" x14ac:dyDescent="0.3">
      <c r="B36" t="s">
        <v>34</v>
      </c>
      <c r="C36" s="14">
        <v>100</v>
      </c>
      <c r="D36" t="s">
        <v>26</v>
      </c>
    </row>
    <row r="37" spans="1:13" x14ac:dyDescent="0.3">
      <c r="B37" s="18" t="s">
        <v>35</v>
      </c>
    </row>
    <row r="38" spans="1:13" x14ac:dyDescent="0.3">
      <c r="B38" s="14">
        <v>8</v>
      </c>
      <c r="C38" s="14">
        <v>10</v>
      </c>
      <c r="D38" s="18">
        <f>B38*C38</f>
        <v>80</v>
      </c>
      <c r="E38" t="s">
        <v>36</v>
      </c>
    </row>
    <row r="39" spans="1:13" x14ac:dyDescent="0.3">
      <c r="B39">
        <f>D38</f>
        <v>80</v>
      </c>
      <c r="C39">
        <f>+C36</f>
        <v>100</v>
      </c>
      <c r="D39" s="19">
        <f>B39*C39</f>
        <v>8000</v>
      </c>
      <c r="E39" s="19" t="s">
        <v>28</v>
      </c>
    </row>
    <row r="40" spans="1:13" x14ac:dyDescent="0.3">
      <c r="B40" t="s">
        <v>37</v>
      </c>
    </row>
    <row r="41" spans="1:13" x14ac:dyDescent="0.3">
      <c r="B41" t="s">
        <v>38</v>
      </c>
      <c r="C41">
        <f>+B38</f>
        <v>8</v>
      </c>
      <c r="D41">
        <f>+C38</f>
        <v>10</v>
      </c>
      <c r="E41" s="18">
        <f>+C41*D41</f>
        <v>80</v>
      </c>
      <c r="F41" s="20" t="s">
        <v>36</v>
      </c>
      <c r="M41" s="11"/>
    </row>
    <row r="42" spans="1:13" x14ac:dyDescent="0.3">
      <c r="B42" t="s">
        <v>39</v>
      </c>
      <c r="C42">
        <v>23.25</v>
      </c>
      <c r="D42">
        <v>0.15</v>
      </c>
      <c r="E42">
        <v>21.65</v>
      </c>
      <c r="F42">
        <v>0.25</v>
      </c>
      <c r="G42" s="18">
        <f>C42*D42+E42*F42</f>
        <v>8.8999999999999986</v>
      </c>
      <c r="H42" s="20" t="s">
        <v>36</v>
      </c>
      <c r="M42" s="11"/>
    </row>
    <row r="43" spans="1:13" x14ac:dyDescent="0.3">
      <c r="B43" t="s">
        <v>40</v>
      </c>
      <c r="C43" s="18">
        <f>E41-G42</f>
        <v>71.099999999999994</v>
      </c>
      <c r="D43" s="20" t="s">
        <v>36</v>
      </c>
      <c r="G43" s="1"/>
      <c r="M43" s="11"/>
    </row>
    <row r="44" spans="1:13" x14ac:dyDescent="0.3">
      <c r="C44">
        <f>C43</f>
        <v>71.099999999999994</v>
      </c>
      <c r="D44">
        <f>+C36</f>
        <v>100</v>
      </c>
      <c r="E44" s="21">
        <f>C44*D44</f>
        <v>7109.9999999999991</v>
      </c>
      <c r="F44" s="19" t="s">
        <v>28</v>
      </c>
      <c r="G44" s="1"/>
      <c r="M44" s="11"/>
    </row>
    <row r="45" spans="1:13" x14ac:dyDescent="0.3">
      <c r="M45" s="11"/>
    </row>
    <row r="46" spans="1:13" s="13" customFormat="1" x14ac:dyDescent="0.3">
      <c r="A46" s="13" t="s">
        <v>41</v>
      </c>
    </row>
    <row r="47" spans="1:13" x14ac:dyDescent="0.3">
      <c r="B47" s="17" t="s">
        <v>2</v>
      </c>
      <c r="C47" s="17"/>
      <c r="D47" s="17"/>
      <c r="E47" s="17"/>
      <c r="F47" s="17"/>
    </row>
    <row r="48" spans="1:13" x14ac:dyDescent="0.3">
      <c r="B48" t="s">
        <v>42</v>
      </c>
      <c r="C48" t="s">
        <v>43</v>
      </c>
      <c r="D48" t="s">
        <v>44</v>
      </c>
      <c r="E48" t="s">
        <v>45</v>
      </c>
      <c r="F48" t="s">
        <v>46</v>
      </c>
    </row>
    <row r="49" spans="2:6" x14ac:dyDescent="0.3">
      <c r="B49" t="s">
        <v>47</v>
      </c>
      <c r="C49">
        <v>0.25</v>
      </c>
      <c r="D49">
        <v>0.2</v>
      </c>
      <c r="E49">
        <v>9</v>
      </c>
      <c r="F49">
        <f t="shared" ref="F49:F52" si="0">C49*D49*E49</f>
        <v>0.45</v>
      </c>
    </row>
    <row r="50" spans="2:6" x14ac:dyDescent="0.3">
      <c r="B50" t="s">
        <v>48</v>
      </c>
      <c r="C50">
        <v>0.25</v>
      </c>
      <c r="D50">
        <v>0.2</v>
      </c>
      <c r="E50">
        <v>4.3499999999999996</v>
      </c>
      <c r="F50">
        <f t="shared" si="0"/>
        <v>0.2175</v>
      </c>
    </row>
    <row r="51" spans="2:6" x14ac:dyDescent="0.3">
      <c r="B51" t="s">
        <v>49</v>
      </c>
      <c r="C51">
        <v>0.25</v>
      </c>
      <c r="D51">
        <v>0.2</v>
      </c>
      <c r="E51">
        <v>0.85</v>
      </c>
      <c r="F51">
        <f t="shared" si="0"/>
        <v>4.2500000000000003E-2</v>
      </c>
    </row>
    <row r="52" spans="2:6" x14ac:dyDescent="0.3">
      <c r="B52" t="s">
        <v>50</v>
      </c>
      <c r="C52">
        <v>0.25</v>
      </c>
      <c r="D52">
        <v>0.2</v>
      </c>
      <c r="E52">
        <v>9</v>
      </c>
      <c r="F52">
        <f t="shared" si="0"/>
        <v>0.45</v>
      </c>
    </row>
    <row r="53" spans="2:6" x14ac:dyDescent="0.3">
      <c r="B53" t="s">
        <v>15</v>
      </c>
      <c r="F53" s="16">
        <f>SUBTOTAL(109,tabla1[Column5])</f>
        <v>1.1599999999999999</v>
      </c>
    </row>
    <row r="55" spans="2:6" x14ac:dyDescent="0.3">
      <c r="B55" t="s">
        <v>51</v>
      </c>
    </row>
    <row r="56" spans="2:6" x14ac:dyDescent="0.3">
      <c r="B56">
        <v>2400</v>
      </c>
      <c r="C56">
        <f>+tabla1[[#Totals],[Column5]]</f>
        <v>1.1599999999999999</v>
      </c>
      <c r="D56" s="21">
        <f>B56*C56</f>
        <v>2784</v>
      </c>
      <c r="E56" s="21" t="s">
        <v>28</v>
      </c>
    </row>
    <row r="58" spans="2:6" x14ac:dyDescent="0.3">
      <c r="B58" s="17" t="s">
        <v>52</v>
      </c>
      <c r="C58" s="17"/>
      <c r="D58" s="17"/>
      <c r="E58" s="17"/>
      <c r="F58" s="17"/>
    </row>
    <row r="59" spans="2:6" x14ac:dyDescent="0.3">
      <c r="B59" t="s">
        <v>42</v>
      </c>
      <c r="C59" t="s">
        <v>43</v>
      </c>
      <c r="D59" t="s">
        <v>44</v>
      </c>
      <c r="E59" t="s">
        <v>45</v>
      </c>
      <c r="F59" t="s">
        <v>46</v>
      </c>
    </row>
    <row r="60" spans="2:6" x14ac:dyDescent="0.3">
      <c r="B60" s="2" t="s">
        <v>47</v>
      </c>
      <c r="C60">
        <v>0.25</v>
      </c>
      <c r="D60">
        <v>0.2</v>
      </c>
      <c r="E60">
        <v>9</v>
      </c>
      <c r="F60">
        <f>C60*D60*E60</f>
        <v>0.45</v>
      </c>
    </row>
    <row r="61" spans="2:6" x14ac:dyDescent="0.3">
      <c r="B61" s="3" t="s">
        <v>50</v>
      </c>
      <c r="C61">
        <v>0.25</v>
      </c>
      <c r="D61">
        <v>0.2</v>
      </c>
      <c r="E61">
        <v>9</v>
      </c>
      <c r="F61">
        <f>C61*D61*E61</f>
        <v>0.45</v>
      </c>
    </row>
    <row r="62" spans="2:6" x14ac:dyDescent="0.3">
      <c r="B62" t="s">
        <v>15</v>
      </c>
      <c r="F62" s="16">
        <f>SUBTOTAL(109,Table4[Column5])</f>
        <v>0.9</v>
      </c>
    </row>
    <row r="63" spans="2:6" x14ac:dyDescent="0.3">
      <c r="E63" s="16"/>
    </row>
    <row r="64" spans="2:6" x14ac:dyDescent="0.3">
      <c r="B64" t="str">
        <f>B55</f>
        <v>peso vigas soleras 2400.00kg/m3</v>
      </c>
    </row>
    <row r="65" spans="1:6" x14ac:dyDescent="0.3">
      <c r="B65">
        <f>B56</f>
        <v>2400</v>
      </c>
      <c r="C65">
        <f>Table4[[#Totals],[Column5]]</f>
        <v>0.9</v>
      </c>
      <c r="D65" s="21">
        <f>B65*C65</f>
        <v>2160</v>
      </c>
      <c r="E65" s="21" t="s">
        <v>28</v>
      </c>
    </row>
    <row r="67" spans="1:6" s="13" customFormat="1" x14ac:dyDescent="0.3">
      <c r="A67" s="13" t="s">
        <v>53</v>
      </c>
    </row>
    <row r="68" spans="1:6" x14ac:dyDescent="0.3">
      <c r="B68" s="17" t="str">
        <f>B47</f>
        <v>primer piso</v>
      </c>
      <c r="C68" s="17"/>
      <c r="D68" s="17"/>
      <c r="E68" s="17"/>
      <c r="F68" s="17"/>
    </row>
    <row r="69" spans="1:6" x14ac:dyDescent="0.3">
      <c r="B69" t="s">
        <v>42</v>
      </c>
      <c r="C69" t="s">
        <v>43</v>
      </c>
      <c r="D69" t="s">
        <v>44</v>
      </c>
      <c r="E69" t="s">
        <v>45</v>
      </c>
      <c r="F69" t="s">
        <v>46</v>
      </c>
    </row>
    <row r="70" spans="1:6" x14ac:dyDescent="0.3">
      <c r="B70" t="s">
        <v>54</v>
      </c>
      <c r="C70">
        <v>0.25</v>
      </c>
      <c r="D70">
        <v>0.2</v>
      </c>
      <c r="E70">
        <v>7.5</v>
      </c>
      <c r="F70">
        <f>C70*D70*E70</f>
        <v>0.375</v>
      </c>
    </row>
    <row r="71" spans="1:6" x14ac:dyDescent="0.3">
      <c r="B71" t="s">
        <v>55</v>
      </c>
      <c r="C71">
        <v>0.25</v>
      </c>
      <c r="D71">
        <v>0.2</v>
      </c>
      <c r="E71">
        <v>4</v>
      </c>
      <c r="F71">
        <f t="shared" ref="F71:F76" si="1">C71*D71*E71</f>
        <v>0.2</v>
      </c>
    </row>
    <row r="72" spans="1:6" x14ac:dyDescent="0.3">
      <c r="B72" t="s">
        <v>56</v>
      </c>
      <c r="C72">
        <v>0.25</v>
      </c>
      <c r="D72">
        <v>0.2</v>
      </c>
      <c r="E72">
        <v>3.25</v>
      </c>
      <c r="F72">
        <f t="shared" si="1"/>
        <v>0.16250000000000001</v>
      </c>
    </row>
    <row r="73" spans="1:6" x14ac:dyDescent="0.3">
      <c r="B73" t="s">
        <v>57</v>
      </c>
      <c r="C73">
        <v>0.25</v>
      </c>
      <c r="D73">
        <v>0.2</v>
      </c>
      <c r="E73">
        <v>4</v>
      </c>
      <c r="F73">
        <f t="shared" si="1"/>
        <v>0.2</v>
      </c>
    </row>
    <row r="74" spans="1:6" x14ac:dyDescent="0.3">
      <c r="B74" t="s">
        <v>58</v>
      </c>
      <c r="C74">
        <v>0.25</v>
      </c>
      <c r="D74">
        <v>0.2</v>
      </c>
      <c r="E74">
        <v>3.25</v>
      </c>
      <c r="F74">
        <f t="shared" si="1"/>
        <v>0.16250000000000001</v>
      </c>
    </row>
    <row r="75" spans="1:6" x14ac:dyDescent="0.3">
      <c r="B75" t="s">
        <v>59</v>
      </c>
      <c r="C75">
        <v>0.25</v>
      </c>
      <c r="D75">
        <v>0.2</v>
      </c>
      <c r="E75">
        <v>4</v>
      </c>
      <c r="F75">
        <f t="shared" si="1"/>
        <v>0.2</v>
      </c>
    </row>
    <row r="76" spans="1:6" x14ac:dyDescent="0.3">
      <c r="B76" t="s">
        <v>56</v>
      </c>
      <c r="C76">
        <v>0.25</v>
      </c>
      <c r="D76">
        <v>0.2</v>
      </c>
      <c r="E76">
        <v>3.25</v>
      </c>
      <c r="F76">
        <f t="shared" si="1"/>
        <v>0.16250000000000001</v>
      </c>
    </row>
    <row r="77" spans="1:6" x14ac:dyDescent="0.3">
      <c r="B77" t="s">
        <v>15</v>
      </c>
      <c r="F77" s="16">
        <f>SUBTOTAL(109,Table6[Column5])</f>
        <v>1.4625000000000001</v>
      </c>
    </row>
    <row r="78" spans="1:6" x14ac:dyDescent="0.3">
      <c r="E78" s="16"/>
    </row>
    <row r="79" spans="1:6" x14ac:dyDescent="0.3">
      <c r="B79" t="str">
        <f>B64</f>
        <v>peso vigas soleras 2400.00kg/m3</v>
      </c>
    </row>
    <row r="80" spans="1:6" x14ac:dyDescent="0.3">
      <c r="B80">
        <f>B65</f>
        <v>2400</v>
      </c>
      <c r="C80" s="16">
        <f>+Table6[[#Totals],[Column5]]</f>
        <v>1.4625000000000001</v>
      </c>
      <c r="D80" s="21">
        <f>B80*C80</f>
        <v>3510.0000000000005</v>
      </c>
      <c r="E80" s="21" t="s">
        <v>28</v>
      </c>
    </row>
    <row r="82" spans="1:6" x14ac:dyDescent="0.3">
      <c r="D82" t="s">
        <v>52</v>
      </c>
    </row>
    <row r="83" spans="1:6" x14ac:dyDescent="0.3">
      <c r="B83" t="s">
        <v>60</v>
      </c>
    </row>
    <row r="85" spans="1:6" s="13" customFormat="1" x14ac:dyDescent="0.3">
      <c r="A85" s="13" t="s">
        <v>61</v>
      </c>
    </row>
    <row r="86" spans="1:6" x14ac:dyDescent="0.3">
      <c r="B86" s="17" t="s">
        <v>2</v>
      </c>
      <c r="C86" s="17"/>
      <c r="D86" s="17"/>
      <c r="E86" s="17"/>
      <c r="F86" s="17"/>
    </row>
    <row r="87" spans="1:6" x14ac:dyDescent="0.3">
      <c r="B87" s="8" t="s">
        <v>42</v>
      </c>
      <c r="C87" s="8" t="s">
        <v>43</v>
      </c>
      <c r="D87" s="8" t="s">
        <v>44</v>
      </c>
      <c r="E87" s="8" t="s">
        <v>45</v>
      </c>
      <c r="F87" s="8" t="s">
        <v>46</v>
      </c>
    </row>
    <row r="88" spans="1:6" x14ac:dyDescent="0.3">
      <c r="B88" s="3" t="s">
        <v>62</v>
      </c>
      <c r="C88" s="3">
        <v>0.5</v>
      </c>
      <c r="D88" s="3">
        <v>0.2</v>
      </c>
      <c r="E88" s="3">
        <v>3.55</v>
      </c>
      <c r="F88" s="3">
        <f>C88*D88*E88</f>
        <v>0.35499999999999998</v>
      </c>
    </row>
    <row r="89" spans="1:6" x14ac:dyDescent="0.3">
      <c r="B89" s="4" t="s">
        <v>63</v>
      </c>
      <c r="C89" s="4">
        <v>0.25</v>
      </c>
      <c r="D89" s="4">
        <v>0.2</v>
      </c>
      <c r="E89" s="4">
        <v>1.9</v>
      </c>
      <c r="F89" s="4">
        <f t="shared" ref="F89" si="2">C89*D89*E89</f>
        <v>9.5000000000000001E-2</v>
      </c>
    </row>
    <row r="90" spans="1:6" x14ac:dyDescent="0.3">
      <c r="B90" s="4" t="s">
        <v>15</v>
      </c>
      <c r="C90" s="4"/>
      <c r="D90" s="4"/>
      <c r="E90" s="4"/>
      <c r="F90" s="16">
        <f>SUBTOTAL(109,Table9[Column5])</f>
        <v>0.44999999999999996</v>
      </c>
    </row>
    <row r="91" spans="1:6" x14ac:dyDescent="0.3">
      <c r="E91" s="16"/>
    </row>
    <row r="92" spans="1:6" x14ac:dyDescent="0.3">
      <c r="B92" t="str">
        <f>B79</f>
        <v>peso vigas soleras 2400.00kg/m3</v>
      </c>
    </row>
    <row r="93" spans="1:6" x14ac:dyDescent="0.3">
      <c r="B93">
        <f>+B80</f>
        <v>2400</v>
      </c>
      <c r="C93">
        <f>+Table9[[#Totals],[Column5]]</f>
        <v>0.44999999999999996</v>
      </c>
      <c r="D93" s="21">
        <f>B93*C93</f>
        <v>1080</v>
      </c>
      <c r="E93" s="21" t="s">
        <v>28</v>
      </c>
    </row>
    <row r="94" spans="1:6" x14ac:dyDescent="0.3">
      <c r="E94" s="16"/>
    </row>
    <row r="95" spans="1:6" x14ac:dyDescent="0.3">
      <c r="B95" s="17" t="s">
        <v>16</v>
      </c>
      <c r="C95" s="17"/>
      <c r="D95" s="17"/>
      <c r="E95" s="17"/>
      <c r="F95" s="17"/>
    </row>
    <row r="96" spans="1:6" x14ac:dyDescent="0.3">
      <c r="B96" s="8" t="s">
        <v>42</v>
      </c>
      <c r="C96" s="8" t="s">
        <v>43</v>
      </c>
      <c r="D96" s="8" t="s">
        <v>44</v>
      </c>
      <c r="E96" s="8" t="s">
        <v>45</v>
      </c>
      <c r="F96" s="8" t="s">
        <v>46</v>
      </c>
    </row>
    <row r="97" spans="1:8" x14ac:dyDescent="0.3">
      <c r="B97" s="4" t="s">
        <v>64</v>
      </c>
      <c r="C97" s="4">
        <v>0.5</v>
      </c>
      <c r="D97" s="4">
        <v>0.2</v>
      </c>
      <c r="E97" s="4">
        <v>0.9</v>
      </c>
      <c r="F97" s="4">
        <f>C97*D97*E97</f>
        <v>9.0000000000000011E-2</v>
      </c>
    </row>
    <row r="98" spans="1:8" x14ac:dyDescent="0.3">
      <c r="B98" s="4" t="s">
        <v>15</v>
      </c>
      <c r="C98" s="4"/>
      <c r="D98" s="4"/>
      <c r="E98" s="4"/>
      <c r="F98" s="16">
        <f>SUBTOTAL(109,Table2[Column5])</f>
        <v>9.0000000000000011E-2</v>
      </c>
    </row>
    <row r="100" spans="1:8" x14ac:dyDescent="0.3">
      <c r="B100" t="str">
        <f>B92</f>
        <v>peso vigas soleras 2400.00kg/m3</v>
      </c>
    </row>
    <row r="101" spans="1:8" x14ac:dyDescent="0.3">
      <c r="B101">
        <f>+B93</f>
        <v>2400</v>
      </c>
      <c r="C101">
        <f>+Table2[Column5]</f>
        <v>9.0000000000000011E-2</v>
      </c>
      <c r="D101" s="21">
        <f>B101*C101</f>
        <v>216.00000000000003</v>
      </c>
      <c r="E101" s="21" t="s">
        <v>28</v>
      </c>
    </row>
    <row r="103" spans="1:8" s="13" customFormat="1" x14ac:dyDescent="0.3">
      <c r="A103" s="13" t="s">
        <v>65</v>
      </c>
    </row>
    <row r="104" spans="1:8" x14ac:dyDescent="0.3">
      <c r="B104" t="s">
        <v>66</v>
      </c>
    </row>
    <row r="105" spans="1:8" x14ac:dyDescent="0.3">
      <c r="B105" t="s">
        <v>42</v>
      </c>
      <c r="C105" t="s">
        <v>43</v>
      </c>
      <c r="D105" t="s">
        <v>44</v>
      </c>
      <c r="E105" t="s">
        <v>45</v>
      </c>
      <c r="F105" t="s">
        <v>46</v>
      </c>
      <c r="G105" t="s">
        <v>67</v>
      </c>
      <c r="H105" t="s">
        <v>68</v>
      </c>
    </row>
    <row r="106" spans="1:8" x14ac:dyDescent="0.3">
      <c r="B106" s="17" t="s">
        <v>2</v>
      </c>
      <c r="C106">
        <v>2400</v>
      </c>
      <c r="D106">
        <v>12</v>
      </c>
      <c r="E106">
        <v>0.25</v>
      </c>
      <c r="F106">
        <v>0.25</v>
      </c>
      <c r="G106">
        <v>2.5</v>
      </c>
      <c r="H106">
        <f>Table10[[#This Row],[Column2]]*Table10[[#This Row],[Column3]]*E106*F106*G106</f>
        <v>4500</v>
      </c>
    </row>
    <row r="107" spans="1:8" x14ac:dyDescent="0.3">
      <c r="B107" s="17" t="s">
        <v>16</v>
      </c>
      <c r="C107">
        <f>C106</f>
        <v>2400</v>
      </c>
      <c r="D107">
        <v>12</v>
      </c>
      <c r="E107">
        <v>0.25</v>
      </c>
      <c r="F107">
        <v>0.25</v>
      </c>
      <c r="G107">
        <v>2.5</v>
      </c>
      <c r="H107">
        <f>Table10[[#This Row],[Column2]]*Table10[[#This Row],[Column3]]*E107*F107*G107</f>
        <v>4500</v>
      </c>
    </row>
    <row r="108" spans="1:8" x14ac:dyDescent="0.3">
      <c r="B108" t="s">
        <v>15</v>
      </c>
      <c r="H108" s="26">
        <f>SUBTOTAL(109,Table10[Column7])</f>
        <v>9000</v>
      </c>
    </row>
    <row r="110" spans="1:8" s="13" customFormat="1" x14ac:dyDescent="0.3">
      <c r="A110" s="13" t="s">
        <v>69</v>
      </c>
    </row>
    <row r="112" spans="1:8" x14ac:dyDescent="0.3">
      <c r="B112" s="8" t="s">
        <v>42</v>
      </c>
      <c r="C112" s="8" t="s">
        <v>43</v>
      </c>
      <c r="D112" s="8" t="s">
        <v>44</v>
      </c>
      <c r="E112" s="8" t="s">
        <v>45</v>
      </c>
      <c r="F112" s="8" t="s">
        <v>46</v>
      </c>
    </row>
    <row r="113" spans="1:8" x14ac:dyDescent="0.3">
      <c r="B113" s="17" t="s">
        <v>2</v>
      </c>
      <c r="C113" s="3">
        <v>0.25</v>
      </c>
      <c r="D113" s="3">
        <v>200</v>
      </c>
      <c r="E113" s="3">
        <f>8*10-9.6</f>
        <v>70.400000000000006</v>
      </c>
      <c r="F113" s="3">
        <f>+C113*D113*E113</f>
        <v>3520.0000000000005</v>
      </c>
    </row>
    <row r="114" spans="1:8" x14ac:dyDescent="0.3">
      <c r="B114" s="17" t="s">
        <v>16</v>
      </c>
      <c r="C114" s="3">
        <v>0.25</v>
      </c>
      <c r="D114" s="3">
        <v>150</v>
      </c>
      <c r="E114" s="4">
        <f>8*10</f>
        <v>80</v>
      </c>
      <c r="F114" s="3">
        <f>+C114*D114*E114</f>
        <v>3000</v>
      </c>
    </row>
    <row r="115" spans="1:8" x14ac:dyDescent="0.3">
      <c r="B115" s="4" t="s">
        <v>15</v>
      </c>
      <c r="C115" s="4"/>
      <c r="D115" s="4"/>
      <c r="E115" s="4"/>
      <c r="F115" s="26">
        <f>SUBTOTAL(109,F113:F114)</f>
        <v>6520</v>
      </c>
    </row>
    <row r="117" spans="1:8" s="13" customFormat="1" x14ac:dyDescent="0.3">
      <c r="A117" s="13" t="s">
        <v>70</v>
      </c>
    </row>
    <row r="119" spans="1:8" x14ac:dyDescent="0.3">
      <c r="B119" s="8" t="s">
        <v>42</v>
      </c>
      <c r="C119" s="8" t="s">
        <v>43</v>
      </c>
      <c r="D119" s="8" t="s">
        <v>44</v>
      </c>
      <c r="E119" s="8" t="s">
        <v>45</v>
      </c>
      <c r="F119" s="8" t="s">
        <v>46</v>
      </c>
      <c r="G119" s="8" t="s">
        <v>67</v>
      </c>
      <c r="H119" s="8" t="s">
        <v>68</v>
      </c>
    </row>
    <row r="120" spans="1:8" x14ac:dyDescent="0.3">
      <c r="B120" s="17" t="s">
        <v>2</v>
      </c>
      <c r="C120" s="3">
        <v>2400</v>
      </c>
      <c r="D120" s="3">
        <v>3</v>
      </c>
      <c r="E120" s="3">
        <v>0.25</v>
      </c>
      <c r="F120" s="3">
        <v>0.5</v>
      </c>
      <c r="G120" s="3">
        <v>1</v>
      </c>
      <c r="H120" s="3">
        <f>C120*D120*E120*F120*G120</f>
        <v>900</v>
      </c>
    </row>
    <row r="121" spans="1:8" x14ac:dyDescent="0.3">
      <c r="B121" s="17" t="s">
        <v>16</v>
      </c>
      <c r="C121" s="3">
        <f>C120</f>
        <v>2400</v>
      </c>
      <c r="D121" s="3">
        <v>3</v>
      </c>
      <c r="E121" s="3">
        <v>0.25</v>
      </c>
      <c r="F121" s="3">
        <v>0.5</v>
      </c>
      <c r="G121" s="3">
        <v>1</v>
      </c>
      <c r="H121" s="4">
        <f>C121*D121*E121*F121*G121</f>
        <v>900</v>
      </c>
    </row>
    <row r="122" spans="1:8" x14ac:dyDescent="0.3">
      <c r="B122" s="4" t="s">
        <v>15</v>
      </c>
      <c r="C122" s="4"/>
      <c r="D122" s="4"/>
      <c r="E122" s="4"/>
      <c r="F122" s="4"/>
      <c r="G122" s="4"/>
      <c r="H122" s="26">
        <f>SUBTOTAL(109,Table12[Column7])</f>
        <v>1800</v>
      </c>
    </row>
    <row r="124" spans="1:8" s="13" customFormat="1" x14ac:dyDescent="0.3">
      <c r="A124" s="13" t="s">
        <v>71</v>
      </c>
    </row>
    <row r="125" spans="1:8" x14ac:dyDescent="0.3">
      <c r="A125" s="66" t="s">
        <v>72</v>
      </c>
      <c r="B125" s="66"/>
      <c r="C125" s="66"/>
      <c r="D125" s="66"/>
      <c r="E125" s="66" t="s">
        <v>73</v>
      </c>
      <c r="F125" s="66"/>
      <c r="G125" s="66"/>
      <c r="H125" s="66"/>
    </row>
    <row r="126" spans="1:8" x14ac:dyDescent="0.3">
      <c r="A126" s="66" t="s">
        <v>74</v>
      </c>
      <c r="B126" s="66"/>
      <c r="C126" s="66"/>
      <c r="D126" s="66"/>
      <c r="E126" s="66" t="s">
        <v>75</v>
      </c>
      <c r="F126" s="66"/>
      <c r="G126" s="66"/>
      <c r="H126" s="66"/>
    </row>
    <row r="127" spans="1:8" x14ac:dyDescent="0.3">
      <c r="A127" s="66" t="s">
        <v>27</v>
      </c>
      <c r="B127" s="66"/>
      <c r="C127" s="66"/>
      <c r="D127" s="66"/>
      <c r="E127" s="66" t="s">
        <v>27</v>
      </c>
      <c r="F127" s="66"/>
      <c r="G127" s="66"/>
      <c r="H127" s="66"/>
    </row>
    <row r="128" spans="1:8" x14ac:dyDescent="0.3">
      <c r="A128" s="67" t="s">
        <v>76</v>
      </c>
      <c r="B128" s="68"/>
      <c r="C128" s="6" t="s">
        <v>77</v>
      </c>
      <c r="D128" s="6" t="s">
        <v>78</v>
      </c>
      <c r="E128" s="67" t="s">
        <v>79</v>
      </c>
      <c r="F128" s="68"/>
      <c r="G128" s="6" t="s">
        <v>77</v>
      </c>
      <c r="H128" s="6" t="s">
        <v>78</v>
      </c>
    </row>
    <row r="129" spans="1:8" x14ac:dyDescent="0.3">
      <c r="A129" s="5" t="s">
        <v>42</v>
      </c>
      <c r="B129" s="5" t="s">
        <v>43</v>
      </c>
      <c r="C129" s="5" t="s">
        <v>44</v>
      </c>
      <c r="D129" s="5" t="s">
        <v>45</v>
      </c>
      <c r="E129" s="5" t="s">
        <v>46</v>
      </c>
      <c r="F129" s="5" t="s">
        <v>67</v>
      </c>
      <c r="G129" s="5" t="s">
        <v>68</v>
      </c>
      <c r="H129" s="5" t="s">
        <v>80</v>
      </c>
    </row>
    <row r="130" spans="1:8" x14ac:dyDescent="0.3">
      <c r="A130" s="5" t="s">
        <v>81</v>
      </c>
      <c r="B130" s="5" t="s">
        <v>82</v>
      </c>
      <c r="C130" s="5">
        <v>2.5</v>
      </c>
      <c r="D130" s="5"/>
      <c r="E130" s="5" t="s">
        <v>83</v>
      </c>
      <c r="F130" s="5" t="s">
        <v>84</v>
      </c>
      <c r="G130" s="5"/>
      <c r="H130" s="5">
        <v>8</v>
      </c>
    </row>
    <row r="131" spans="1:8" x14ac:dyDescent="0.3">
      <c r="A131" s="5"/>
      <c r="B131" s="5" t="s">
        <v>85</v>
      </c>
      <c r="C131" s="5">
        <v>1.75</v>
      </c>
      <c r="D131" s="5"/>
      <c r="E131" s="5" t="s">
        <v>86</v>
      </c>
      <c r="F131" s="5" t="s">
        <v>87</v>
      </c>
      <c r="G131" s="5"/>
      <c r="H131" s="5">
        <v>1.85</v>
      </c>
    </row>
    <row r="132" spans="1:8" x14ac:dyDescent="0.3">
      <c r="A132" s="5"/>
      <c r="B132" s="5" t="s">
        <v>88</v>
      </c>
      <c r="C132" s="5">
        <v>0.6</v>
      </c>
      <c r="D132" s="5"/>
      <c r="E132" s="5"/>
      <c r="F132" s="5" t="s">
        <v>89</v>
      </c>
      <c r="G132" s="5"/>
      <c r="H132" s="5">
        <v>1.7</v>
      </c>
    </row>
    <row r="133" spans="1:8" x14ac:dyDescent="0.3">
      <c r="A133" s="5" t="s">
        <v>90</v>
      </c>
      <c r="B133" s="5" t="s">
        <v>91</v>
      </c>
      <c r="C133" s="5">
        <v>0.9</v>
      </c>
      <c r="D133" s="5"/>
      <c r="E133" s="5" t="s">
        <v>90</v>
      </c>
      <c r="F133" s="5" t="s">
        <v>92</v>
      </c>
      <c r="G133" s="5"/>
      <c r="H133" s="5">
        <v>8</v>
      </c>
    </row>
    <row r="134" spans="1:8" x14ac:dyDescent="0.3">
      <c r="A134" s="5"/>
      <c r="B134" s="5" t="s">
        <v>93</v>
      </c>
      <c r="C134" s="5">
        <v>0.95</v>
      </c>
      <c r="D134" s="5"/>
      <c r="E134" s="5"/>
      <c r="F134" s="5" t="s">
        <v>94</v>
      </c>
      <c r="G134" s="5">
        <v>2.15</v>
      </c>
      <c r="H134" s="5"/>
    </row>
    <row r="135" spans="1:8" x14ac:dyDescent="0.3">
      <c r="A135" s="5" t="s">
        <v>15</v>
      </c>
      <c r="B135" s="5"/>
      <c r="C135" s="5">
        <f>SUBTOTAL(109,C130:C134)</f>
        <v>6.7</v>
      </c>
      <c r="D135" s="5">
        <f>SUBTOTAL(109,D130:D134)</f>
        <v>0</v>
      </c>
      <c r="E135" s="5"/>
      <c r="F135" s="5"/>
      <c r="G135" s="5">
        <f>SUBTOTAL(109,G130:G134)</f>
        <v>2.15</v>
      </c>
      <c r="H135" s="5">
        <f>SUBTOTAL(109,Table13[Column8])</f>
        <v>19.549999999999997</v>
      </c>
    </row>
    <row r="136" spans="1:8" x14ac:dyDescent="0.3">
      <c r="A136" s="66" t="s">
        <v>29</v>
      </c>
      <c r="B136" s="66"/>
      <c r="C136" s="66"/>
      <c r="D136" s="66"/>
      <c r="E136" s="66" t="s">
        <v>29</v>
      </c>
      <c r="F136" s="66"/>
      <c r="G136" s="66"/>
      <c r="H136" s="66"/>
    </row>
    <row r="137" spans="1:8" x14ac:dyDescent="0.3">
      <c r="A137" s="69" t="s">
        <v>76</v>
      </c>
      <c r="B137" s="70"/>
      <c r="C137" s="7" t="s">
        <v>77</v>
      </c>
      <c r="D137" s="7" t="s">
        <v>78</v>
      </c>
      <c r="E137" s="69" t="s">
        <v>79</v>
      </c>
      <c r="F137" s="70"/>
      <c r="G137" s="7" t="s">
        <v>77</v>
      </c>
      <c r="H137" s="7" t="s">
        <v>78</v>
      </c>
    </row>
    <row r="138" spans="1:8" x14ac:dyDescent="0.3">
      <c r="A138" t="s">
        <v>42</v>
      </c>
      <c r="B138" t="s">
        <v>43</v>
      </c>
      <c r="C138" t="s">
        <v>44</v>
      </c>
      <c r="D138" t="s">
        <v>45</v>
      </c>
      <c r="E138" t="s">
        <v>46</v>
      </c>
      <c r="F138" t="s">
        <v>67</v>
      </c>
      <c r="G138" t="s">
        <v>68</v>
      </c>
      <c r="H138" t="s">
        <v>80</v>
      </c>
    </row>
    <row r="139" spans="1:8" x14ac:dyDescent="0.3">
      <c r="A139" t="s">
        <v>95</v>
      </c>
      <c r="B139" t="s">
        <v>82</v>
      </c>
      <c r="C139">
        <v>0.9</v>
      </c>
      <c r="E139" t="s">
        <v>83</v>
      </c>
      <c r="F139" t="s">
        <v>96</v>
      </c>
      <c r="H139">
        <v>9</v>
      </c>
    </row>
    <row r="140" spans="1:8" x14ac:dyDescent="0.3">
      <c r="B140" t="s">
        <v>85</v>
      </c>
      <c r="C140">
        <v>1.1000000000000001</v>
      </c>
      <c r="F140" t="s">
        <v>97</v>
      </c>
      <c r="G140">
        <v>1.925</v>
      </c>
    </row>
    <row r="141" spans="1:8" x14ac:dyDescent="0.3">
      <c r="B141" t="s">
        <v>88</v>
      </c>
      <c r="C141">
        <v>1.25</v>
      </c>
      <c r="F141" t="s">
        <v>98</v>
      </c>
      <c r="G141">
        <v>1.925</v>
      </c>
    </row>
    <row r="142" spans="1:8" x14ac:dyDescent="0.3">
      <c r="B142" t="s">
        <v>99</v>
      </c>
      <c r="C142">
        <v>0.45</v>
      </c>
      <c r="F142" t="s">
        <v>100</v>
      </c>
      <c r="H142">
        <v>1.825</v>
      </c>
    </row>
    <row r="143" spans="1:8" x14ac:dyDescent="0.3">
      <c r="A143" t="s">
        <v>81</v>
      </c>
      <c r="B143" t="s">
        <v>89</v>
      </c>
      <c r="C143">
        <v>2.5</v>
      </c>
      <c r="E143" t="s">
        <v>90</v>
      </c>
      <c r="F143" t="s">
        <v>101</v>
      </c>
      <c r="H143">
        <v>1.825</v>
      </c>
    </row>
    <row r="144" spans="1:8" x14ac:dyDescent="0.3">
      <c r="B144" t="s">
        <v>102</v>
      </c>
      <c r="C144">
        <v>0.6</v>
      </c>
      <c r="F144" t="s">
        <v>103</v>
      </c>
      <c r="G144">
        <v>1.1000000000000001</v>
      </c>
    </row>
    <row r="145" spans="1:8" x14ac:dyDescent="0.3">
      <c r="B145" t="s">
        <v>104</v>
      </c>
      <c r="C145">
        <v>2.35</v>
      </c>
      <c r="F145" t="s">
        <v>92</v>
      </c>
      <c r="H145">
        <v>9</v>
      </c>
    </row>
    <row r="146" spans="1:8" x14ac:dyDescent="0.3">
      <c r="A146" t="s">
        <v>105</v>
      </c>
      <c r="B146" t="s">
        <v>87</v>
      </c>
      <c r="C146">
        <v>2.5</v>
      </c>
    </row>
    <row r="147" spans="1:8" x14ac:dyDescent="0.3">
      <c r="B147" t="s">
        <v>106</v>
      </c>
      <c r="C147">
        <v>0.6</v>
      </c>
    </row>
    <row r="148" spans="1:8" x14ac:dyDescent="0.3">
      <c r="B148" t="s">
        <v>107</v>
      </c>
      <c r="C148">
        <v>2.35</v>
      </c>
    </row>
    <row r="149" spans="1:8" x14ac:dyDescent="0.3">
      <c r="B149" t="s">
        <v>108</v>
      </c>
      <c r="C149">
        <v>0.45</v>
      </c>
    </row>
    <row r="150" spans="1:8" x14ac:dyDescent="0.3">
      <c r="A150" t="s">
        <v>90</v>
      </c>
      <c r="B150" t="s">
        <v>94</v>
      </c>
      <c r="C150">
        <v>0.9</v>
      </c>
    </row>
    <row r="151" spans="1:8" x14ac:dyDescent="0.3">
      <c r="B151" t="s">
        <v>91</v>
      </c>
      <c r="C151">
        <v>1.1000000000000001</v>
      </c>
    </row>
    <row r="152" spans="1:8" x14ac:dyDescent="0.3">
      <c r="B152" t="s">
        <v>109</v>
      </c>
      <c r="C152">
        <v>1.25</v>
      </c>
    </row>
    <row r="153" spans="1:8" x14ac:dyDescent="0.3">
      <c r="A153" t="s">
        <v>15</v>
      </c>
      <c r="C153" s="5">
        <f>SUBTOTAL(109,C139:C152)</f>
        <v>18.3</v>
      </c>
      <c r="D153" s="5">
        <f>SUBTOTAL(109,D139:D152)</f>
        <v>0</v>
      </c>
      <c r="E153" s="5"/>
      <c r="F153" s="5"/>
      <c r="G153" s="5">
        <f>SUBTOTAL(109,G139:G152)</f>
        <v>4.95</v>
      </c>
      <c r="H153" s="5">
        <f>SUBTOTAL(109,H139:H152)</f>
        <v>21.65</v>
      </c>
    </row>
    <row r="155" spans="1:8" x14ac:dyDescent="0.3">
      <c r="B155" s="21" t="s">
        <v>110</v>
      </c>
    </row>
    <row r="156" spans="1:8" x14ac:dyDescent="0.3">
      <c r="C156" s="22" t="s">
        <v>2</v>
      </c>
    </row>
    <row r="157" spans="1:8" x14ac:dyDescent="0.3">
      <c r="B157" t="s">
        <v>77</v>
      </c>
      <c r="C157" t="s">
        <v>111</v>
      </c>
      <c r="D157">
        <f>Table13[[#Totals],[Column3]]+Table13[[#Totals],[Column7]]</f>
        <v>8.85</v>
      </c>
      <c r="E157" t="s">
        <v>112</v>
      </c>
    </row>
    <row r="158" spans="1:8" x14ac:dyDescent="0.3">
      <c r="B158" t="s">
        <v>78</v>
      </c>
      <c r="C158" t="s">
        <v>111</v>
      </c>
      <c r="D158">
        <f>Table13[[#Totals],[Column4]]+Table13[[#Totals],[Column8]]</f>
        <v>19.549999999999997</v>
      </c>
      <c r="E158" t="s">
        <v>112</v>
      </c>
    </row>
    <row r="160" spans="1:8" x14ac:dyDescent="0.3">
      <c r="B160" s="19" t="s">
        <v>113</v>
      </c>
    </row>
    <row r="161" spans="2:9" x14ac:dyDescent="0.3">
      <c r="B161" s="24" t="s">
        <v>114</v>
      </c>
      <c r="C161">
        <f>+D157</f>
        <v>8.85</v>
      </c>
      <c r="D161">
        <v>0.15</v>
      </c>
      <c r="E161" s="23" t="s">
        <v>115</v>
      </c>
      <c r="F161">
        <f>+D158</f>
        <v>19.549999999999997</v>
      </c>
      <c r="G161">
        <v>0.25</v>
      </c>
      <c r="H161" t="s">
        <v>116</v>
      </c>
    </row>
    <row r="162" spans="2:9" x14ac:dyDescent="0.3">
      <c r="C162">
        <v>2.5</v>
      </c>
      <c r="D162">
        <v>1800</v>
      </c>
      <c r="E162" s="21">
        <f>(C161*D161+F161*G161)*C162*D162</f>
        <v>27967.499999999996</v>
      </c>
      <c r="F162" s="21" t="s">
        <v>28</v>
      </c>
      <c r="I162" s="1"/>
    </row>
    <row r="163" spans="2:9" x14ac:dyDescent="0.3">
      <c r="B163" t="s">
        <v>117</v>
      </c>
      <c r="C163" s="20">
        <v>3023.5</v>
      </c>
      <c r="D163" s="20" t="s">
        <v>28</v>
      </c>
    </row>
    <row r="164" spans="2:9" x14ac:dyDescent="0.3">
      <c r="C164" s="21"/>
      <c r="D164" s="21"/>
    </row>
    <row r="165" spans="2:9" x14ac:dyDescent="0.3">
      <c r="C165" s="22" t="s">
        <v>16</v>
      </c>
    </row>
    <row r="166" spans="2:9" x14ac:dyDescent="0.3">
      <c r="B166" t="s">
        <v>77</v>
      </c>
      <c r="C166" t="s">
        <v>111</v>
      </c>
      <c r="D166">
        <f>+Table14[[#Totals],[Column3]]+Table14[[#Totals],[Column7]]</f>
        <v>23.25</v>
      </c>
      <c r="E166" t="s">
        <v>112</v>
      </c>
    </row>
    <row r="167" spans="2:9" x14ac:dyDescent="0.3">
      <c r="B167" t="s">
        <v>78</v>
      </c>
      <c r="C167" t="s">
        <v>111</v>
      </c>
      <c r="D167">
        <f>+Table14[[#Totals],[Column4]]+Table14[[#Totals],[Column8]]</f>
        <v>21.65</v>
      </c>
      <c r="E167" t="s">
        <v>112</v>
      </c>
    </row>
    <row r="169" spans="2:9" x14ac:dyDescent="0.3">
      <c r="B169" s="19" t="s">
        <v>113</v>
      </c>
    </row>
    <row r="170" spans="2:9" x14ac:dyDescent="0.3">
      <c r="B170" s="24" t="s">
        <v>114</v>
      </c>
      <c r="C170">
        <f>+D166</f>
        <v>23.25</v>
      </c>
      <c r="D170">
        <v>0.15</v>
      </c>
      <c r="E170" s="23" t="s">
        <v>115</v>
      </c>
      <c r="F170">
        <f>+D167</f>
        <v>21.65</v>
      </c>
      <c r="G170">
        <v>0.25</v>
      </c>
      <c r="H170" t="s">
        <v>116</v>
      </c>
    </row>
    <row r="171" spans="2:9" x14ac:dyDescent="0.3">
      <c r="C171">
        <v>2.5</v>
      </c>
      <c r="D171">
        <v>1800</v>
      </c>
      <c r="E171" s="21">
        <f>(C170*D170+F170*G170)*C171*D171</f>
        <v>40049.999999999993</v>
      </c>
      <c r="F171" s="21" t="s">
        <v>28</v>
      </c>
    </row>
    <row r="172" spans="2:9" x14ac:dyDescent="0.3">
      <c r="B172" t="s">
        <v>117</v>
      </c>
      <c r="C172" s="20">
        <v>3825</v>
      </c>
      <c r="D172" s="20" t="s">
        <v>28</v>
      </c>
    </row>
    <row r="174" spans="2:9" x14ac:dyDescent="0.3">
      <c r="B174" s="25" t="s">
        <v>118</v>
      </c>
    </row>
    <row r="175" spans="2:9" x14ac:dyDescent="0.3">
      <c r="B175" t="s">
        <v>76</v>
      </c>
      <c r="C175" t="s">
        <v>119</v>
      </c>
      <c r="D175" t="s">
        <v>120</v>
      </c>
      <c r="E175" t="s">
        <v>121</v>
      </c>
    </row>
    <row r="176" spans="2:9" x14ac:dyDescent="0.3">
      <c r="B176" t="s">
        <v>122</v>
      </c>
      <c r="C176">
        <f>+E29</f>
        <v>19248.75</v>
      </c>
      <c r="D176">
        <f>+E30</f>
        <v>18975</v>
      </c>
      <c r="E176">
        <f>C176+D176</f>
        <v>38223.75</v>
      </c>
    </row>
    <row r="177" spans="2:5" x14ac:dyDescent="0.3">
      <c r="B177" t="str">
        <f>+A34</f>
        <v>2. acabado y ladrillos pastelero</v>
      </c>
      <c r="C177">
        <f>+E44</f>
        <v>7109.9999999999991</v>
      </c>
      <c r="D177">
        <f>+D39</f>
        <v>8000</v>
      </c>
      <c r="E177">
        <f t="shared" ref="E177:E184" si="3">C177+D177</f>
        <v>15110</v>
      </c>
    </row>
    <row r="178" spans="2:5" x14ac:dyDescent="0.3">
      <c r="B178" t="str">
        <f>+A46</f>
        <v>3.Vigas soleras y dindeles</v>
      </c>
      <c r="C178">
        <f>+D56</f>
        <v>2784</v>
      </c>
      <c r="D178">
        <f>+D65</f>
        <v>2160</v>
      </c>
      <c r="E178">
        <f t="shared" si="3"/>
        <v>4944</v>
      </c>
    </row>
    <row r="179" spans="2:5" x14ac:dyDescent="0.3">
      <c r="B179" t="str">
        <f>+A67</f>
        <v>4.Vigas de Amarre</v>
      </c>
      <c r="C179">
        <f>+D80</f>
        <v>3510.0000000000005</v>
      </c>
      <c r="D179">
        <f>+C179</f>
        <v>3510.0000000000005</v>
      </c>
      <c r="E179">
        <f t="shared" si="3"/>
        <v>7020.0000000000009</v>
      </c>
    </row>
    <row r="180" spans="2:5" x14ac:dyDescent="0.3">
      <c r="B180" t="str">
        <f>+A85</f>
        <v>5.Vigas chatas</v>
      </c>
      <c r="C180">
        <f>+D93</f>
        <v>1080</v>
      </c>
      <c r="D180">
        <f>+D101</f>
        <v>216.00000000000003</v>
      </c>
      <c r="E180">
        <f t="shared" si="3"/>
        <v>1296</v>
      </c>
    </row>
    <row r="181" spans="2:5" x14ac:dyDescent="0.3">
      <c r="B181" t="str">
        <f>+A103</f>
        <v>6. Columnas</v>
      </c>
      <c r="C181">
        <f>+H106</f>
        <v>4500</v>
      </c>
      <c r="D181">
        <f>+H107</f>
        <v>4500</v>
      </c>
      <c r="E181">
        <f t="shared" si="3"/>
        <v>9000</v>
      </c>
    </row>
    <row r="182" spans="2:5" x14ac:dyDescent="0.3">
      <c r="B182" t="str">
        <f>+A110</f>
        <v>7. Sobrecargas</v>
      </c>
      <c r="C182">
        <f>+F113</f>
        <v>3520.0000000000005</v>
      </c>
      <c r="D182">
        <f>+F114</f>
        <v>3000</v>
      </c>
      <c r="E182">
        <f t="shared" si="3"/>
        <v>6520</v>
      </c>
    </row>
    <row r="183" spans="2:5" x14ac:dyDescent="0.3">
      <c r="B183" t="str">
        <f>+A117</f>
        <v>8. Vigas</v>
      </c>
      <c r="C183">
        <f>+H120</f>
        <v>900</v>
      </c>
      <c r="D183">
        <f>+H121</f>
        <v>900</v>
      </c>
      <c r="E183">
        <f t="shared" si="3"/>
        <v>1800</v>
      </c>
    </row>
    <row r="184" spans="2:5" x14ac:dyDescent="0.3">
      <c r="B184" t="str">
        <f>+A124</f>
        <v>9. Muros y alfeizar</v>
      </c>
      <c r="C184">
        <f>+E162+C163</f>
        <v>30990.999999999996</v>
      </c>
      <c r="D184">
        <f>+E171+C172</f>
        <v>43874.999999999993</v>
      </c>
      <c r="E184">
        <f t="shared" si="3"/>
        <v>74865.999999999985</v>
      </c>
    </row>
    <row r="185" spans="2:5" x14ac:dyDescent="0.3">
      <c r="B185" t="s">
        <v>15</v>
      </c>
      <c r="C185">
        <f>SUBTOTAL(109,C176:C184)</f>
        <v>73643.75</v>
      </c>
      <c r="D185">
        <f>SUBTOTAL(109,D176:D184)</f>
        <v>85136</v>
      </c>
      <c r="E185">
        <f>SUBTOTAL(109,Table5[Total(kg)])</f>
        <v>158779.75</v>
      </c>
    </row>
    <row r="187" spans="2:5" x14ac:dyDescent="0.3">
      <c r="B187" t="s">
        <v>123</v>
      </c>
    </row>
    <row r="188" spans="2:5" ht="33" customHeight="1" x14ac:dyDescent="0.3"/>
    <row r="189" spans="2:5" x14ac:dyDescent="0.3">
      <c r="B189" t="s">
        <v>124</v>
      </c>
      <c r="C189" s="14">
        <v>0.4</v>
      </c>
      <c r="D189" t="s">
        <v>125</v>
      </c>
    </row>
    <row r="190" spans="2:5" x14ac:dyDescent="0.3">
      <c r="B190" t="s">
        <v>126</v>
      </c>
      <c r="C190" s="14">
        <v>1</v>
      </c>
      <c r="D190" t="s">
        <v>127</v>
      </c>
    </row>
    <row r="191" spans="2:5" x14ac:dyDescent="0.3">
      <c r="B191" t="s">
        <v>128</v>
      </c>
      <c r="C191" s="14">
        <v>1.2</v>
      </c>
      <c r="D191" t="s">
        <v>129</v>
      </c>
    </row>
    <row r="192" spans="2:5" x14ac:dyDescent="0.3">
      <c r="B192" s="9" t="s">
        <v>130</v>
      </c>
      <c r="C192" s="14">
        <v>3</v>
      </c>
      <c r="D192" t="s">
        <v>131</v>
      </c>
    </row>
    <row r="194" spans="2:2" x14ac:dyDescent="0.3">
      <c r="B194" s="19" t="s">
        <v>132</v>
      </c>
    </row>
    <row r="211" spans="2:4" x14ac:dyDescent="0.3">
      <c r="B211" t="s">
        <v>133</v>
      </c>
      <c r="C211">
        <v>5.4</v>
      </c>
      <c r="D211" t="s">
        <v>112</v>
      </c>
    </row>
    <row r="212" spans="2:4" x14ac:dyDescent="0.3">
      <c r="B212" t="s">
        <v>134</v>
      </c>
      <c r="C212">
        <v>8</v>
      </c>
    </row>
    <row r="213" spans="2:4" x14ac:dyDescent="0.3">
      <c r="B213" t="s">
        <v>135</v>
      </c>
      <c r="C213">
        <v>9</v>
      </c>
    </row>
    <row r="214" spans="2:4" x14ac:dyDescent="0.3">
      <c r="B214" t="s">
        <v>136</v>
      </c>
    </row>
    <row r="216" spans="2:4" x14ac:dyDescent="0.3">
      <c r="B216" t="s">
        <v>137</v>
      </c>
    </row>
    <row r="217" spans="2:4" x14ac:dyDescent="0.3">
      <c r="B217" t="s">
        <v>138</v>
      </c>
    </row>
    <row r="218" spans="2:4" x14ac:dyDescent="0.3">
      <c r="B218" t="s">
        <v>139</v>
      </c>
    </row>
    <row r="223" spans="2:4" x14ac:dyDescent="0.3">
      <c r="B223" t="s">
        <v>140</v>
      </c>
    </row>
    <row r="224" spans="2:4" x14ac:dyDescent="0.3">
      <c r="B224" t="s">
        <v>141</v>
      </c>
      <c r="C224">
        <v>0.6</v>
      </c>
      <c r="D224" t="s">
        <v>142</v>
      </c>
    </row>
    <row r="225" spans="2:4" x14ac:dyDescent="0.3">
      <c r="B225" t="s">
        <v>143</v>
      </c>
    </row>
    <row r="226" spans="2:4" x14ac:dyDescent="0.3">
      <c r="B226" s="10" t="s">
        <v>144</v>
      </c>
    </row>
    <row r="230" spans="2:4" x14ac:dyDescent="0.3">
      <c r="B230" t="s">
        <v>140</v>
      </c>
    </row>
    <row r="231" spans="2:4" x14ac:dyDescent="0.3">
      <c r="B231" t="s">
        <v>145</v>
      </c>
    </row>
    <row r="232" spans="2:4" x14ac:dyDescent="0.3">
      <c r="B232" t="s">
        <v>146</v>
      </c>
      <c r="C232">
        <v>60</v>
      </c>
    </row>
    <row r="234" spans="2:4" x14ac:dyDescent="0.3">
      <c r="B234" t="s">
        <v>147</v>
      </c>
      <c r="C234">
        <f>+C211/C232</f>
        <v>9.0000000000000011E-2</v>
      </c>
    </row>
    <row r="235" spans="2:4" x14ac:dyDescent="0.3">
      <c r="B235" t="s">
        <v>148</v>
      </c>
      <c r="C235">
        <f>+C211/C232</f>
        <v>9.0000000000000011E-2</v>
      </c>
    </row>
    <row r="236" spans="2:4" x14ac:dyDescent="0.3">
      <c r="B236" t="s">
        <v>9</v>
      </c>
      <c r="C236">
        <f>2.5*(C224/C234)</f>
        <v>16.666666666666664</v>
      </c>
      <c r="D236" t="s">
        <v>149</v>
      </c>
    </row>
    <row r="237" spans="2:4" x14ac:dyDescent="0.3">
      <c r="B237" t="s">
        <v>9</v>
      </c>
      <c r="C237">
        <v>2.5</v>
      </c>
    </row>
    <row r="239" spans="2:4" x14ac:dyDescent="0.3">
      <c r="B239" t="s">
        <v>150</v>
      </c>
    </row>
    <row r="242" spans="2:6" x14ac:dyDescent="0.3">
      <c r="B242" t="s">
        <v>133</v>
      </c>
      <c r="C242">
        <f>C189*C190*C237*C191*Table5[[#Totals],[Total(kg)]]/C192</f>
        <v>63511.899999999994</v>
      </c>
    </row>
    <row r="244" spans="2:6" x14ac:dyDescent="0.3">
      <c r="B244" t="s">
        <v>151</v>
      </c>
    </row>
    <row r="249" spans="2:6" x14ac:dyDescent="0.3">
      <c r="B249" t="s">
        <v>152</v>
      </c>
      <c r="C249" t="s">
        <v>153</v>
      </c>
      <c r="D249" t="s">
        <v>154</v>
      </c>
      <c r="E249" t="s">
        <v>155</v>
      </c>
      <c r="F249" t="s">
        <v>156</v>
      </c>
    </row>
    <row r="250" spans="2:6" x14ac:dyDescent="0.3">
      <c r="B250">
        <v>1</v>
      </c>
      <c r="C250">
        <v>86409.9</v>
      </c>
      <c r="D250">
        <v>5.4</v>
      </c>
      <c r="E250">
        <f>+C250*D250</f>
        <v>466613.46</v>
      </c>
      <c r="F250">
        <f>Tabla2[[#This Row],[PiHi]]*(Tabla2[[#This Row],[Hi]]-C256)/Tabla2[[#Totals],[PiHi]]</f>
        <v>-279.07182643292958</v>
      </c>
    </row>
    <row r="251" spans="2:6" x14ac:dyDescent="0.3">
      <c r="B251">
        <v>2</v>
      </c>
      <c r="C251">
        <v>73710.149999999994</v>
      </c>
      <c r="D251">
        <v>2.7</v>
      </c>
      <c r="E251">
        <f>+C251*D251</f>
        <v>199017.405</v>
      </c>
      <c r="F251">
        <f>Tabla2[[#This Row],[PiHi]]*(Tabla2[[#This Row],[Hi]]-B257)/Tabla2[[#Totals],[PiHi]]</f>
        <v>0.80727475505511603</v>
      </c>
    </row>
    <row r="252" spans="2:6" x14ac:dyDescent="0.3">
      <c r="B252" t="s">
        <v>15</v>
      </c>
      <c r="E252">
        <f>SUBTOTAL(109,Tabla2[PiHi])</f>
        <v>665630.86499999999</v>
      </c>
    </row>
    <row r="255" spans="2:6" x14ac:dyDescent="0.3">
      <c r="B255" t="s">
        <v>157</v>
      </c>
    </row>
    <row r="256" spans="2:6" x14ac:dyDescent="0.3">
      <c r="B256" t="s">
        <v>158</v>
      </c>
      <c r="C256">
        <f>0.07*0.09*64047.62</f>
        <v>403.50000600000004</v>
      </c>
      <c r="D256" t="s">
        <v>28</v>
      </c>
    </row>
    <row r="314" spans="1:9" x14ac:dyDescent="0.3">
      <c r="D314" s="21" t="s">
        <v>159</v>
      </c>
    </row>
    <row r="316" spans="1:9" ht="14.25" customHeight="1" x14ac:dyDescent="0.3">
      <c r="A316" s="71" t="s">
        <v>160</v>
      </c>
      <c r="B316" s="28" t="s">
        <v>161</v>
      </c>
      <c r="C316" s="28" t="s">
        <v>162</v>
      </c>
      <c r="D316" s="28" t="s">
        <v>163</v>
      </c>
      <c r="E316" s="28" t="s">
        <v>164</v>
      </c>
      <c r="F316" s="28" t="s">
        <v>165</v>
      </c>
      <c r="G316" s="28" t="s">
        <v>166</v>
      </c>
      <c r="H316" s="28" t="s">
        <v>167</v>
      </c>
      <c r="I316" s="28" t="s">
        <v>168</v>
      </c>
    </row>
    <row r="317" spans="1:9" x14ac:dyDescent="0.3">
      <c r="A317" s="71"/>
      <c r="B317" s="29" t="s">
        <v>169</v>
      </c>
      <c r="C317" s="32">
        <v>9</v>
      </c>
      <c r="D317" s="32">
        <v>2.5</v>
      </c>
      <c r="E317" s="32">
        <v>0.25</v>
      </c>
      <c r="F317" s="30">
        <f>3*(D317/E317)</f>
        <v>30</v>
      </c>
      <c r="G317" s="30">
        <f>4*POWER(D317/E317,3)</f>
        <v>4000</v>
      </c>
      <c r="H317" s="30">
        <f>+F317+G317</f>
        <v>4030</v>
      </c>
      <c r="I317" s="31">
        <f>C317/H317</f>
        <v>2.2332506203473945E-3</v>
      </c>
    </row>
    <row r="318" spans="1:9" x14ac:dyDescent="0.3">
      <c r="A318" s="71"/>
      <c r="B318" s="29" t="s">
        <v>170</v>
      </c>
      <c r="C318" s="32">
        <v>0.15</v>
      </c>
      <c r="D318" s="32">
        <v>2.5</v>
      </c>
      <c r="E318" s="32">
        <v>2.5</v>
      </c>
      <c r="F318" s="30">
        <f>3*(D318/E318)</f>
        <v>3</v>
      </c>
      <c r="G318" s="30">
        <f t="shared" ref="G318:G326" si="4">4*POWER(D318/E318,3)</f>
        <v>4</v>
      </c>
      <c r="H318" s="30">
        <f>+F318+G318</f>
        <v>7</v>
      </c>
      <c r="I318" s="31">
        <f t="shared" ref="I318:I326" si="5">C318/H318</f>
        <v>2.1428571428571429E-2</v>
      </c>
    </row>
    <row r="319" spans="1:9" x14ac:dyDescent="0.3">
      <c r="A319" s="71"/>
      <c r="B319" s="29" t="s">
        <v>171</v>
      </c>
      <c r="C319" s="32">
        <v>0.15</v>
      </c>
      <c r="D319" s="32">
        <v>2.5</v>
      </c>
      <c r="E319" s="32">
        <v>1.75</v>
      </c>
      <c r="F319" s="30">
        <f t="shared" ref="F319:F326" si="6">3*(D319/E319)</f>
        <v>4.2857142857142856</v>
      </c>
      <c r="G319" s="30">
        <f t="shared" si="4"/>
        <v>11.661807580174928</v>
      </c>
      <c r="H319" s="30">
        <f t="shared" ref="H319:H326" si="7">+F319+G319</f>
        <v>15.947521865889215</v>
      </c>
      <c r="I319" s="31">
        <f t="shared" si="5"/>
        <v>9.4058500914076769E-3</v>
      </c>
    </row>
    <row r="320" spans="1:9" x14ac:dyDescent="0.3">
      <c r="A320" s="71"/>
      <c r="B320" s="29" t="s">
        <v>172</v>
      </c>
      <c r="C320" s="32">
        <v>0.15</v>
      </c>
      <c r="D320" s="32">
        <v>2.5</v>
      </c>
      <c r="E320" s="32">
        <v>0.6</v>
      </c>
      <c r="F320" s="30">
        <f t="shared" si="6"/>
        <v>12.5</v>
      </c>
      <c r="G320" s="30">
        <f t="shared" si="4"/>
        <v>289.3518518518519</v>
      </c>
      <c r="H320" s="30">
        <f t="shared" si="7"/>
        <v>301.8518518518519</v>
      </c>
      <c r="I320" s="31">
        <f t="shared" si="5"/>
        <v>4.9693251533742318E-4</v>
      </c>
    </row>
    <row r="321" spans="1:9" x14ac:dyDescent="0.3">
      <c r="A321" s="27"/>
      <c r="B321" s="29" t="s">
        <v>173</v>
      </c>
      <c r="C321" s="32">
        <v>9</v>
      </c>
      <c r="D321" s="32">
        <v>2.5</v>
      </c>
      <c r="E321" s="32">
        <v>0.25</v>
      </c>
      <c r="F321" s="30">
        <f t="shared" si="6"/>
        <v>30</v>
      </c>
      <c r="G321" s="30">
        <f t="shared" si="4"/>
        <v>4000</v>
      </c>
      <c r="H321" s="30">
        <f t="shared" si="7"/>
        <v>4030</v>
      </c>
      <c r="I321" s="31">
        <f t="shared" si="5"/>
        <v>2.2332506203473945E-3</v>
      </c>
    </row>
    <row r="322" spans="1:9" x14ac:dyDescent="0.3">
      <c r="A322" s="27"/>
      <c r="B322" s="29" t="s">
        <v>174</v>
      </c>
      <c r="C322" s="32">
        <v>0.15</v>
      </c>
      <c r="D322" s="32">
        <v>2.5</v>
      </c>
      <c r="E322" s="32">
        <v>0.95</v>
      </c>
      <c r="F322" s="30">
        <f t="shared" si="6"/>
        <v>7.8947368421052637</v>
      </c>
      <c r="G322" s="30">
        <f t="shared" si="4"/>
        <v>72.896923749817773</v>
      </c>
      <c r="H322" s="30">
        <f t="shared" si="7"/>
        <v>80.791660591923034</v>
      </c>
      <c r="I322" s="31">
        <f t="shared" si="5"/>
        <v>1.8566272669854728E-3</v>
      </c>
    </row>
    <row r="323" spans="1:9" x14ac:dyDescent="0.3">
      <c r="A323" s="27"/>
      <c r="B323" s="29" t="s">
        <v>175</v>
      </c>
      <c r="C323" s="32">
        <v>0.15</v>
      </c>
      <c r="D323" s="32">
        <v>2.5</v>
      </c>
      <c r="E323" s="32">
        <v>0.9</v>
      </c>
      <c r="F323" s="30">
        <f t="shared" si="6"/>
        <v>8.3333333333333321</v>
      </c>
      <c r="G323" s="30">
        <f t="shared" si="4"/>
        <v>85.733882030178322</v>
      </c>
      <c r="H323" s="30">
        <f t="shared" si="7"/>
        <v>94.06721536351165</v>
      </c>
      <c r="I323" s="31">
        <f t="shared" si="5"/>
        <v>1.5946044476850166E-3</v>
      </c>
    </row>
    <row r="324" spans="1:9" x14ac:dyDescent="0.3">
      <c r="A324" s="27"/>
      <c r="B324" s="29" t="s">
        <v>176</v>
      </c>
      <c r="C324" s="32">
        <v>2.15</v>
      </c>
      <c r="D324" s="32">
        <v>2.5</v>
      </c>
      <c r="E324" s="32">
        <v>0.15</v>
      </c>
      <c r="F324" s="30">
        <f t="shared" si="6"/>
        <v>50</v>
      </c>
      <c r="G324" s="30">
        <f t="shared" si="4"/>
        <v>18518.518518518522</v>
      </c>
      <c r="H324" s="30">
        <f t="shared" si="7"/>
        <v>18568.518518518522</v>
      </c>
      <c r="I324" s="31">
        <f t="shared" si="5"/>
        <v>1.1578737408995709E-4</v>
      </c>
    </row>
    <row r="325" spans="1:9" x14ac:dyDescent="0.3">
      <c r="A325" s="27"/>
      <c r="B325" s="29" t="s">
        <v>177</v>
      </c>
      <c r="C325" s="32">
        <v>2.35</v>
      </c>
      <c r="D325" s="32">
        <v>2.5</v>
      </c>
      <c r="E325" s="32">
        <v>0.25</v>
      </c>
      <c r="F325" s="30">
        <f t="shared" si="6"/>
        <v>30</v>
      </c>
      <c r="G325" s="30">
        <f t="shared" si="4"/>
        <v>4000</v>
      </c>
      <c r="H325" s="30">
        <f t="shared" si="7"/>
        <v>4030</v>
      </c>
      <c r="I325" s="31">
        <f t="shared" si="5"/>
        <v>5.8312655086848635E-4</v>
      </c>
    </row>
    <row r="326" spans="1:9" x14ac:dyDescent="0.3">
      <c r="A326" s="27"/>
      <c r="B326" s="29" t="s">
        <v>178</v>
      </c>
      <c r="C326" s="32">
        <v>1.95</v>
      </c>
      <c r="D326" s="32">
        <v>2.5</v>
      </c>
      <c r="E326" s="32">
        <v>0.25</v>
      </c>
      <c r="F326" s="30">
        <f t="shared" si="6"/>
        <v>30</v>
      </c>
      <c r="G326" s="30">
        <f t="shared" si="4"/>
        <v>4000</v>
      </c>
      <c r="H326" s="30">
        <f t="shared" si="7"/>
        <v>4030</v>
      </c>
      <c r="I326" s="31">
        <f t="shared" si="5"/>
        <v>4.8387096774193548E-4</v>
      </c>
    </row>
    <row r="328" spans="1:9" ht="16.2" x14ac:dyDescent="0.3">
      <c r="A328" s="71" t="s">
        <v>179</v>
      </c>
      <c r="B328" s="28" t="s">
        <v>161</v>
      </c>
      <c r="C328" s="28" t="s">
        <v>162</v>
      </c>
      <c r="D328" s="28" t="s">
        <v>163</v>
      </c>
      <c r="E328" s="28" t="s">
        <v>164</v>
      </c>
      <c r="F328" s="28" t="s">
        <v>165</v>
      </c>
      <c r="G328" s="28" t="s">
        <v>166</v>
      </c>
      <c r="H328" s="28" t="s">
        <v>167</v>
      </c>
      <c r="I328" s="28" t="s">
        <v>180</v>
      </c>
    </row>
    <row r="329" spans="1:9" x14ac:dyDescent="0.3">
      <c r="A329" s="71"/>
      <c r="B329" s="29" t="s">
        <v>169</v>
      </c>
      <c r="C329" s="32">
        <v>0.25</v>
      </c>
      <c r="D329" s="32">
        <v>2.5</v>
      </c>
      <c r="E329" s="32">
        <v>9</v>
      </c>
      <c r="F329" s="30">
        <f>3*(D329/E329)</f>
        <v>0.83333333333333337</v>
      </c>
      <c r="G329" s="30">
        <f>4*POWER(D329/E329,3)</f>
        <v>8.5733882030178343E-2</v>
      </c>
      <c r="H329" s="30">
        <f>+F329+G329</f>
        <v>0.91906721536351177</v>
      </c>
      <c r="I329" s="31">
        <f>C329/H329</f>
        <v>0.27201492537313432</v>
      </c>
    </row>
    <row r="330" spans="1:9" x14ac:dyDescent="0.3">
      <c r="A330" s="71"/>
      <c r="B330" s="29" t="s">
        <v>170</v>
      </c>
      <c r="C330" s="32">
        <v>2.5</v>
      </c>
      <c r="D330" s="32">
        <v>2.5</v>
      </c>
      <c r="E330" s="32">
        <v>0.15</v>
      </c>
      <c r="F330" s="30">
        <f t="shared" ref="F330:F338" si="8">3*(D330/E330)</f>
        <v>50</v>
      </c>
      <c r="G330" s="30">
        <f t="shared" ref="G330:G338" si="9">4*POWER(D330/E330,3)</f>
        <v>18518.518518518522</v>
      </c>
      <c r="H330" s="30">
        <f t="shared" ref="H330:H338" si="10">+F330+G330</f>
        <v>18568.518518518522</v>
      </c>
      <c r="I330" s="31">
        <f t="shared" ref="I330:I338" si="11">C330/H330</f>
        <v>1.3463648149995012E-4</v>
      </c>
    </row>
    <row r="331" spans="1:9" x14ac:dyDescent="0.3">
      <c r="A331" s="71"/>
      <c r="B331" s="29" t="s">
        <v>171</v>
      </c>
      <c r="C331" s="32">
        <v>1.75</v>
      </c>
      <c r="D331" s="32">
        <v>2.5</v>
      </c>
      <c r="E331" s="32">
        <v>0.15</v>
      </c>
      <c r="F331" s="30">
        <f t="shared" si="8"/>
        <v>50</v>
      </c>
      <c r="G331" s="30">
        <f t="shared" si="9"/>
        <v>18518.518518518522</v>
      </c>
      <c r="H331" s="30">
        <f t="shared" si="10"/>
        <v>18568.518518518522</v>
      </c>
      <c r="I331" s="31">
        <f t="shared" si="11"/>
        <v>9.4245537049965076E-5</v>
      </c>
    </row>
    <row r="332" spans="1:9" x14ac:dyDescent="0.3">
      <c r="A332" s="71"/>
      <c r="B332" s="29" t="s">
        <v>172</v>
      </c>
      <c r="C332" s="32">
        <v>0.6</v>
      </c>
      <c r="D332" s="32">
        <v>2.5</v>
      </c>
      <c r="E332" s="32">
        <v>0.15</v>
      </c>
      <c r="F332" s="30">
        <f t="shared" si="8"/>
        <v>50</v>
      </c>
      <c r="G332" s="30">
        <f t="shared" si="9"/>
        <v>18518.518518518522</v>
      </c>
      <c r="H332" s="30">
        <f t="shared" si="10"/>
        <v>18568.518518518522</v>
      </c>
      <c r="I332" s="31">
        <f t="shared" si="11"/>
        <v>3.2312755559988027E-5</v>
      </c>
    </row>
    <row r="333" spans="1:9" x14ac:dyDescent="0.3">
      <c r="A333" s="27"/>
      <c r="B333" s="29" t="s">
        <v>173</v>
      </c>
      <c r="C333" s="32">
        <v>0.25</v>
      </c>
      <c r="D333" s="32">
        <v>2.5</v>
      </c>
      <c r="E333" s="32">
        <v>9</v>
      </c>
      <c r="F333" s="30">
        <f t="shared" si="8"/>
        <v>0.83333333333333337</v>
      </c>
      <c r="G333" s="30">
        <f t="shared" si="9"/>
        <v>8.5733882030178343E-2</v>
      </c>
      <c r="H333" s="30">
        <f t="shared" si="10"/>
        <v>0.91906721536351177</v>
      </c>
      <c r="I333" s="31">
        <f t="shared" si="11"/>
        <v>0.27201492537313432</v>
      </c>
    </row>
    <row r="334" spans="1:9" x14ac:dyDescent="0.3">
      <c r="A334" s="27"/>
      <c r="B334" s="29" t="s">
        <v>174</v>
      </c>
      <c r="C334" s="32">
        <v>0.95</v>
      </c>
      <c r="D334" s="32">
        <v>2.5</v>
      </c>
      <c r="E334" s="32">
        <v>0.15</v>
      </c>
      <c r="F334" s="30">
        <f t="shared" si="8"/>
        <v>50</v>
      </c>
      <c r="G334" s="30">
        <f t="shared" si="9"/>
        <v>18518.518518518522</v>
      </c>
      <c r="H334" s="30">
        <f t="shared" si="10"/>
        <v>18568.518518518522</v>
      </c>
      <c r="I334" s="31">
        <f t="shared" si="11"/>
        <v>5.1161862969981038E-5</v>
      </c>
    </row>
    <row r="335" spans="1:9" x14ac:dyDescent="0.3">
      <c r="A335" s="27"/>
      <c r="B335" s="29" t="s">
        <v>175</v>
      </c>
      <c r="C335" s="32">
        <v>0.9</v>
      </c>
      <c r="D335" s="32">
        <v>2.5</v>
      </c>
      <c r="E335" s="32">
        <v>0.15</v>
      </c>
      <c r="F335" s="30">
        <f t="shared" si="8"/>
        <v>50</v>
      </c>
      <c r="G335" s="30">
        <f t="shared" si="9"/>
        <v>18518.518518518522</v>
      </c>
      <c r="H335" s="30">
        <f t="shared" si="10"/>
        <v>18568.518518518522</v>
      </c>
      <c r="I335" s="31">
        <f t="shared" si="11"/>
        <v>4.846913333998204E-5</v>
      </c>
    </row>
    <row r="336" spans="1:9" x14ac:dyDescent="0.3">
      <c r="A336" s="27"/>
      <c r="B336" s="29" t="s">
        <v>176</v>
      </c>
      <c r="C336" s="32">
        <v>0.15</v>
      </c>
      <c r="D336" s="32">
        <v>2.5</v>
      </c>
      <c r="E336" s="32">
        <v>2.15</v>
      </c>
      <c r="F336" s="30">
        <f t="shared" si="8"/>
        <v>3.4883720930232558</v>
      </c>
      <c r="G336" s="30">
        <f t="shared" si="9"/>
        <v>6.2887544492937737</v>
      </c>
      <c r="H336" s="30">
        <f t="shared" si="10"/>
        <v>9.7771265423170295</v>
      </c>
      <c r="I336" s="31">
        <f t="shared" si="11"/>
        <v>1.5341930919148388E-2</v>
      </c>
    </row>
    <row r="337" spans="1:9" x14ac:dyDescent="0.3">
      <c r="A337" s="27"/>
      <c r="B337" s="29" t="s">
        <v>177</v>
      </c>
      <c r="C337" s="32">
        <v>0.25</v>
      </c>
      <c r="D337" s="32">
        <v>2.5</v>
      </c>
      <c r="E337" s="32">
        <v>2.35</v>
      </c>
      <c r="F337" s="30">
        <f t="shared" si="8"/>
        <v>3.1914893617021276</v>
      </c>
      <c r="G337" s="30">
        <f t="shared" si="9"/>
        <v>4.8158885796018218</v>
      </c>
      <c r="H337" s="30">
        <f t="shared" si="10"/>
        <v>8.0073779413039503</v>
      </c>
      <c r="I337" s="31">
        <f t="shared" si="11"/>
        <v>3.1221206471401936E-2</v>
      </c>
    </row>
    <row r="338" spans="1:9" x14ac:dyDescent="0.3">
      <c r="A338" s="27"/>
      <c r="B338" s="29" t="s">
        <v>178</v>
      </c>
      <c r="C338" s="32">
        <v>0.25</v>
      </c>
      <c r="D338" s="32">
        <v>2.5</v>
      </c>
      <c r="E338" s="32">
        <v>1.95</v>
      </c>
      <c r="F338" s="30">
        <f t="shared" si="8"/>
        <v>3.8461538461538467</v>
      </c>
      <c r="G338" s="30">
        <f t="shared" si="9"/>
        <v>8.4290025118427501</v>
      </c>
      <c r="H338" s="30">
        <f t="shared" si="10"/>
        <v>12.275156357996597</v>
      </c>
      <c r="I338" s="31">
        <f t="shared" si="11"/>
        <v>2.0366339353155252E-2</v>
      </c>
    </row>
    <row r="340" spans="1:9" x14ac:dyDescent="0.3">
      <c r="D340" s="21" t="s">
        <v>159</v>
      </c>
    </row>
    <row r="342" spans="1:9" x14ac:dyDescent="0.3">
      <c r="B342" s="41" t="s">
        <v>161</v>
      </c>
      <c r="C342" s="42" t="s">
        <v>168</v>
      </c>
      <c r="D342" s="42" t="s">
        <v>180</v>
      </c>
      <c r="E342" s="42" t="s">
        <v>181</v>
      </c>
      <c r="F342" s="42" t="s">
        <v>182</v>
      </c>
      <c r="G342" s="42" t="s">
        <v>183</v>
      </c>
      <c r="H342" s="43" t="s">
        <v>184</v>
      </c>
    </row>
    <row r="343" spans="1:9" x14ac:dyDescent="0.3">
      <c r="B343" s="39" t="s">
        <v>169</v>
      </c>
      <c r="C343" s="31">
        <f>+I317</f>
        <v>2.2332506203473945E-3</v>
      </c>
      <c r="D343" s="31">
        <f>+I329</f>
        <v>0.27201492537313432</v>
      </c>
      <c r="E343" s="34">
        <v>4.5</v>
      </c>
      <c r="F343" s="34">
        <v>0.125</v>
      </c>
      <c r="G343" s="31">
        <f>C343*E343</f>
        <v>1.0049627791563275E-2</v>
      </c>
      <c r="H343" s="40">
        <f>D343*F343</f>
        <v>3.400186567164179E-2</v>
      </c>
    </row>
    <row r="344" spans="1:9" x14ac:dyDescent="0.3">
      <c r="B344" s="39" t="s">
        <v>170</v>
      </c>
      <c r="C344" s="31">
        <f t="shared" ref="C344:C352" si="12">+I318</f>
        <v>2.1428571428571429E-2</v>
      </c>
      <c r="D344" s="31">
        <f t="shared" ref="D344:D352" si="13">+I330</f>
        <v>1.3463648149995012E-4</v>
      </c>
      <c r="E344" s="34">
        <f>4.85+0.15*1.5</f>
        <v>5.0749999999999993</v>
      </c>
      <c r="F344" s="34">
        <f>1.25+0.25</f>
        <v>1.5</v>
      </c>
      <c r="G344" s="31">
        <f t="shared" ref="G344:G352" si="14">C344*E344</f>
        <v>0.10874999999999999</v>
      </c>
      <c r="H344" s="40">
        <f t="shared" ref="H344:H352" si="15">D344*F344</f>
        <v>2.0195472224992519E-4</v>
      </c>
    </row>
    <row r="345" spans="1:9" x14ac:dyDescent="0.3">
      <c r="B345" s="39" t="s">
        <v>171</v>
      </c>
      <c r="C345" s="31">
        <f t="shared" si="12"/>
        <v>9.4058500914076769E-3</v>
      </c>
      <c r="D345" s="31">
        <f t="shared" si="13"/>
        <v>9.4245537049965076E-5</v>
      </c>
      <c r="E345" s="34">
        <f>1.95+0.85+2.35-0.075</f>
        <v>5.0750000000000002</v>
      </c>
      <c r="F345" s="34">
        <f>0.25+0.9+0.15+2.95+0.25+1.75/2</f>
        <v>5.375</v>
      </c>
      <c r="G345" s="31">
        <f t="shared" si="14"/>
        <v>4.7734689213893962E-2</v>
      </c>
      <c r="H345" s="40">
        <f t="shared" si="15"/>
        <v>5.0656976164356225E-4</v>
      </c>
    </row>
    <row r="346" spans="1:9" x14ac:dyDescent="0.3">
      <c r="B346" s="39" t="s">
        <v>172</v>
      </c>
      <c r="C346" s="31">
        <f t="shared" si="12"/>
        <v>4.9693251533742318E-4</v>
      </c>
      <c r="D346" s="31">
        <f t="shared" si="13"/>
        <v>3.2312755559988027E-5</v>
      </c>
      <c r="E346" s="34">
        <f>E345</f>
        <v>5.0750000000000002</v>
      </c>
      <c r="F346" s="34">
        <f>0.25+0.9+0.15+2.95+0.25+1.75+1.2</f>
        <v>7.45</v>
      </c>
      <c r="G346" s="31">
        <f t="shared" si="14"/>
        <v>2.5219325153374226E-3</v>
      </c>
      <c r="H346" s="40">
        <f t="shared" si="15"/>
        <v>2.407300289219108E-4</v>
      </c>
    </row>
    <row r="347" spans="1:9" x14ac:dyDescent="0.3">
      <c r="B347" s="39" t="s">
        <v>173</v>
      </c>
      <c r="C347" s="31">
        <f t="shared" si="12"/>
        <v>2.2332506203473945E-3</v>
      </c>
      <c r="D347" s="31">
        <f t="shared" si="13"/>
        <v>0.27201492537313432</v>
      </c>
      <c r="E347" s="34">
        <v>4.5</v>
      </c>
      <c r="F347" s="34">
        <f>0.25+0.9+0.15+2.95+0.25+1.75+1.5+0.125</f>
        <v>7.875</v>
      </c>
      <c r="G347" s="31">
        <f t="shared" si="14"/>
        <v>1.0049627791563275E-2</v>
      </c>
      <c r="H347" s="40">
        <f t="shared" si="15"/>
        <v>2.1421175373134327</v>
      </c>
    </row>
    <row r="348" spans="1:9" x14ac:dyDescent="0.3">
      <c r="B348" s="39" t="s">
        <v>174</v>
      </c>
      <c r="C348" s="31">
        <f t="shared" si="12"/>
        <v>1.8566272669854728E-3</v>
      </c>
      <c r="D348" s="31">
        <f t="shared" si="13"/>
        <v>5.1161862969981038E-5</v>
      </c>
      <c r="E348" s="34">
        <f>0.15/2</f>
        <v>7.4999999999999997E-2</v>
      </c>
      <c r="F348" s="34">
        <f>0.5+2.95+0.9+0.15+0.95/2</f>
        <v>4.9750000000000005</v>
      </c>
      <c r="G348" s="31">
        <f t="shared" si="14"/>
        <v>1.3924704502391047E-4</v>
      </c>
      <c r="H348" s="40">
        <f t="shared" si="15"/>
        <v>2.545302682756557E-4</v>
      </c>
    </row>
    <row r="349" spans="1:9" x14ac:dyDescent="0.3">
      <c r="B349" s="39" t="s">
        <v>175</v>
      </c>
      <c r="C349" s="31">
        <f t="shared" si="12"/>
        <v>1.5946044476850166E-3</v>
      </c>
      <c r="D349" s="31">
        <f t="shared" si="13"/>
        <v>4.846913333998204E-5</v>
      </c>
      <c r="E349" s="34">
        <f>E348</f>
        <v>7.4999999999999997E-2</v>
      </c>
      <c r="F349" s="34">
        <f>0.25+0.45</f>
        <v>0.7</v>
      </c>
      <c r="G349" s="31">
        <f t="shared" si="14"/>
        <v>1.1959533357637623E-4</v>
      </c>
      <c r="H349" s="40">
        <f t="shared" si="15"/>
        <v>3.3928393337987423E-5</v>
      </c>
    </row>
    <row r="350" spans="1:9" x14ac:dyDescent="0.3">
      <c r="B350" s="39" t="s">
        <v>176</v>
      </c>
      <c r="C350" s="31">
        <f t="shared" si="12"/>
        <v>1.1578737408995709E-4</v>
      </c>
      <c r="D350" s="31">
        <f t="shared" si="13"/>
        <v>1.5341930919148388E-2</v>
      </c>
      <c r="E350" s="34">
        <f>2.15/2</f>
        <v>1.075</v>
      </c>
      <c r="F350" s="34">
        <f>0.075+0.25+0.9</f>
        <v>1.2250000000000001</v>
      </c>
      <c r="G350" s="31">
        <f t="shared" si="14"/>
        <v>1.2447142714670385E-4</v>
      </c>
      <c r="H350" s="40">
        <f t="shared" si="15"/>
        <v>1.8793865375956776E-2</v>
      </c>
    </row>
    <row r="351" spans="1:9" x14ac:dyDescent="0.3">
      <c r="B351" s="39" t="s">
        <v>177</v>
      </c>
      <c r="C351" s="31">
        <f t="shared" si="12"/>
        <v>5.8312655086848635E-4</v>
      </c>
      <c r="D351" s="31">
        <f t="shared" si="13"/>
        <v>3.1221206471401936E-2</v>
      </c>
      <c r="E351" s="34">
        <f>1.95+0.85+2.35/2</f>
        <v>3.9749999999999996</v>
      </c>
      <c r="F351" s="34">
        <f>1.3+2.95+0.25/2</f>
        <v>4.375</v>
      </c>
      <c r="G351" s="31">
        <f t="shared" si="14"/>
        <v>2.3179280397022332E-3</v>
      </c>
      <c r="H351" s="40">
        <f t="shared" si="15"/>
        <v>0.13659277831238348</v>
      </c>
    </row>
    <row r="352" spans="1:9" x14ac:dyDescent="0.3">
      <c r="B352" s="44" t="s">
        <v>178</v>
      </c>
      <c r="C352" s="45">
        <f t="shared" si="12"/>
        <v>4.8387096774193548E-4</v>
      </c>
      <c r="D352" s="45">
        <f t="shared" si="13"/>
        <v>2.0366339353155252E-2</v>
      </c>
      <c r="E352" s="46">
        <f>1.95/2</f>
        <v>0.97499999999999998</v>
      </c>
      <c r="F352" s="46">
        <f>F351</f>
        <v>4.375</v>
      </c>
      <c r="G352" s="45">
        <f t="shared" si="14"/>
        <v>4.7177419354838706E-4</v>
      </c>
      <c r="H352" s="47">
        <f t="shared" si="15"/>
        <v>8.9102734670054223E-2</v>
      </c>
    </row>
    <row r="353" spans="2:8" x14ac:dyDescent="0.3">
      <c r="B353" s="48" t="s">
        <v>15</v>
      </c>
      <c r="C353" s="45">
        <f>SUBTOTAL(109,Tabla7[Kx/E])</f>
        <v>4.0431871883382188E-2</v>
      </c>
      <c r="D353" s="45">
        <f>SUBTOTAL(109,Tabla7[Ky/E])</f>
        <v>0.61132015326039402</v>
      </c>
      <c r="E353" s="49"/>
      <c r="F353" s="49"/>
      <c r="G353" s="45">
        <f>SUBTOTAL(109,Tabla7[(Kx/E)y])</f>
        <v>0.18227889335135553</v>
      </c>
      <c r="H353" s="47">
        <f>SUBTOTAL(109,Tabla7[(Ky/E)x])</f>
        <v>2.4218464945178972</v>
      </c>
    </row>
    <row r="355" spans="2:8" ht="15.6" x14ac:dyDescent="0.35">
      <c r="C355" s="36" t="s">
        <v>185</v>
      </c>
      <c r="D355" s="35">
        <f>H353/D353</f>
        <v>3.9616663733418633</v>
      </c>
      <c r="E355" t="s">
        <v>112</v>
      </c>
      <c r="F355" s="36" t="s">
        <v>186</v>
      </c>
      <c r="G355" s="35">
        <f>G353/C353</f>
        <v>4.5082971641061604</v>
      </c>
      <c r="H355" t="s">
        <v>112</v>
      </c>
    </row>
    <row r="357" spans="2:8" x14ac:dyDescent="0.3">
      <c r="D357" s="21" t="s">
        <v>187</v>
      </c>
    </row>
    <row r="359" spans="2:8" x14ac:dyDescent="0.3">
      <c r="B359" s="38" t="s">
        <v>161</v>
      </c>
      <c r="C359" s="28" t="s">
        <v>188</v>
      </c>
      <c r="D359" s="28" t="s">
        <v>189</v>
      </c>
      <c r="E359" s="37" t="s">
        <v>181</v>
      </c>
      <c r="F359" s="37" t="s">
        <v>182</v>
      </c>
      <c r="G359" s="37" t="s">
        <v>190</v>
      </c>
      <c r="H359" s="37" t="s">
        <v>191</v>
      </c>
    </row>
    <row r="360" spans="2:8" x14ac:dyDescent="0.3">
      <c r="B360" s="39" t="s">
        <v>169</v>
      </c>
      <c r="C360" s="31" t="s">
        <v>192</v>
      </c>
      <c r="D360" s="31">
        <f>9*0.25*2.5*1.8</f>
        <v>10.125</v>
      </c>
      <c r="E360" s="35">
        <f t="shared" ref="E360:E369" si="16">+E343</f>
        <v>4.5</v>
      </c>
      <c r="F360" s="35">
        <f t="shared" ref="F360:F369" si="17">+F343</f>
        <v>0.125</v>
      </c>
      <c r="G360">
        <f>+Tabla16[[#This Row],[Peso(tn)]]*Tabla16[[#This Row],[Y(m)]]</f>
        <v>45.5625</v>
      </c>
      <c r="H360">
        <f>+Tabla16[[#This Row],[Peso(tn)]]*Tabla16[[#This Row],[X(m)]]</f>
        <v>1.265625</v>
      </c>
    </row>
    <row r="361" spans="2:8" x14ac:dyDescent="0.3">
      <c r="B361" s="39" t="s">
        <v>170</v>
      </c>
      <c r="C361" s="31" t="s">
        <v>193</v>
      </c>
      <c r="D361" s="31">
        <f>2.5*0.15*2.5*1.8</f>
        <v>1.6875</v>
      </c>
      <c r="E361" s="35">
        <f t="shared" si="16"/>
        <v>5.0749999999999993</v>
      </c>
      <c r="F361" s="35">
        <f t="shared" si="17"/>
        <v>1.5</v>
      </c>
      <c r="G361">
        <f>+Tabla16[[#This Row],[Peso(tn)]]*Tabla16[[#This Row],[Y(m)]]</f>
        <v>8.5640624999999986</v>
      </c>
      <c r="H361">
        <f>+Tabla16[[#This Row],[Peso(tn)]]*Tabla16[[#This Row],[X(m)]]</f>
        <v>2.53125</v>
      </c>
    </row>
    <row r="362" spans="2:8" x14ac:dyDescent="0.3">
      <c r="B362" s="39" t="s">
        <v>171</v>
      </c>
      <c r="C362" s="31" t="s">
        <v>194</v>
      </c>
      <c r="D362" s="31">
        <f>1.75*0.15*2.5*1.8</f>
        <v>1.1812500000000001</v>
      </c>
      <c r="E362" s="35">
        <f t="shared" si="16"/>
        <v>5.0750000000000002</v>
      </c>
      <c r="F362" s="35">
        <f t="shared" si="17"/>
        <v>5.375</v>
      </c>
      <c r="G362">
        <f>+Tabla16[[#This Row],[Peso(tn)]]*Tabla16[[#This Row],[Y(m)]]</f>
        <v>5.9948437500000011</v>
      </c>
      <c r="H362">
        <f>+Tabla16[[#This Row],[Peso(tn)]]*Tabla16[[#This Row],[X(m)]]</f>
        <v>6.3492187500000004</v>
      </c>
    </row>
    <row r="363" spans="2:8" x14ac:dyDescent="0.3">
      <c r="B363" s="39" t="s">
        <v>172</v>
      </c>
      <c r="C363" s="31" t="s">
        <v>195</v>
      </c>
      <c r="D363" s="31">
        <f>0.6*0.15*2.5*1.8</f>
        <v>0.40499999999999997</v>
      </c>
      <c r="E363" s="35">
        <f t="shared" si="16"/>
        <v>5.0750000000000002</v>
      </c>
      <c r="F363" s="35">
        <f t="shared" si="17"/>
        <v>7.45</v>
      </c>
      <c r="G363">
        <f>+Tabla16[[#This Row],[Peso(tn)]]*Tabla16[[#This Row],[Y(m)]]</f>
        <v>2.0553749999999997</v>
      </c>
      <c r="H363">
        <f>+Tabla16[[#This Row],[Peso(tn)]]*Tabla16[[#This Row],[X(m)]]</f>
        <v>3.0172499999999998</v>
      </c>
    </row>
    <row r="364" spans="2:8" x14ac:dyDescent="0.3">
      <c r="B364" s="39" t="s">
        <v>173</v>
      </c>
      <c r="C364" s="31" t="s">
        <v>192</v>
      </c>
      <c r="D364" s="31">
        <f>9*0.25*2.5*1.8</f>
        <v>10.125</v>
      </c>
      <c r="E364" s="35">
        <f t="shared" si="16"/>
        <v>4.5</v>
      </c>
      <c r="F364" s="35">
        <f t="shared" si="17"/>
        <v>7.875</v>
      </c>
      <c r="G364">
        <f>+Tabla16[[#This Row],[Peso(tn)]]*Tabla16[[#This Row],[Y(m)]]</f>
        <v>45.5625</v>
      </c>
      <c r="H364">
        <f>+Tabla16[[#This Row],[Peso(tn)]]*Tabla16[[#This Row],[X(m)]]</f>
        <v>79.734375</v>
      </c>
    </row>
    <row r="365" spans="2:8" x14ac:dyDescent="0.3">
      <c r="B365" s="39" t="s">
        <v>174</v>
      </c>
      <c r="C365" s="31" t="s">
        <v>196</v>
      </c>
      <c r="D365" s="31">
        <f>0.95*0.15*2.5*1.8</f>
        <v>0.64124999999999999</v>
      </c>
      <c r="E365" s="35">
        <f t="shared" si="16"/>
        <v>7.4999999999999997E-2</v>
      </c>
      <c r="F365" s="35">
        <f t="shared" si="17"/>
        <v>4.9750000000000005</v>
      </c>
      <c r="G365">
        <f>+Tabla16[[#This Row],[Peso(tn)]]*Tabla16[[#This Row],[Y(m)]]</f>
        <v>4.8093749999999998E-2</v>
      </c>
      <c r="H365">
        <f>+Tabla16[[#This Row],[Peso(tn)]]*Tabla16[[#This Row],[X(m)]]</f>
        <v>3.1902187500000001</v>
      </c>
    </row>
    <row r="366" spans="2:8" x14ac:dyDescent="0.3">
      <c r="B366" s="39" t="s">
        <v>175</v>
      </c>
      <c r="C366" s="31" t="s">
        <v>197</v>
      </c>
      <c r="D366" s="31">
        <f>0.9*0.15*2.2*1.8</f>
        <v>0.53460000000000008</v>
      </c>
      <c r="E366" s="35">
        <f t="shared" si="16"/>
        <v>7.4999999999999997E-2</v>
      </c>
      <c r="F366" s="35">
        <f t="shared" si="17"/>
        <v>0.7</v>
      </c>
      <c r="G366">
        <f>+Tabla16[[#This Row],[Peso(tn)]]*Tabla16[[#This Row],[Y(m)]]</f>
        <v>4.0095000000000006E-2</v>
      </c>
      <c r="H366">
        <f>+Tabla16[[#This Row],[Peso(tn)]]*Tabla16[[#This Row],[X(m)]]</f>
        <v>0.37422000000000005</v>
      </c>
    </row>
    <row r="367" spans="2:8" x14ac:dyDescent="0.3">
      <c r="B367" s="39" t="s">
        <v>176</v>
      </c>
      <c r="C367" s="31" t="s">
        <v>198</v>
      </c>
      <c r="D367" s="31">
        <f>2.15*0.15*2.5*1.8</f>
        <v>1.4512499999999999</v>
      </c>
      <c r="E367" s="35">
        <f t="shared" si="16"/>
        <v>1.075</v>
      </c>
      <c r="F367" s="35">
        <f t="shared" si="17"/>
        <v>1.2250000000000001</v>
      </c>
      <c r="G367">
        <f>+Tabla16[[#This Row],[Peso(tn)]]*Tabla16[[#This Row],[Y(m)]]</f>
        <v>1.5600937499999998</v>
      </c>
      <c r="H367">
        <f>+Tabla16[[#This Row],[Peso(tn)]]*Tabla16[[#This Row],[X(m)]]</f>
        <v>1.7777812500000001</v>
      </c>
    </row>
    <row r="368" spans="2:8" x14ac:dyDescent="0.3">
      <c r="B368" s="39" t="s">
        <v>177</v>
      </c>
      <c r="C368" s="31" t="s">
        <v>199</v>
      </c>
      <c r="D368" s="31">
        <f>2.35*0.25*2.5*1.8</f>
        <v>2.6437500000000003</v>
      </c>
      <c r="E368" s="35">
        <f t="shared" si="16"/>
        <v>3.9749999999999996</v>
      </c>
      <c r="F368" s="35">
        <f t="shared" si="17"/>
        <v>4.375</v>
      </c>
      <c r="G368">
        <f>+Tabla16[[#This Row],[Peso(tn)]]*Tabla16[[#This Row],[Y(m)]]</f>
        <v>10.508906250000001</v>
      </c>
      <c r="H368">
        <f>+Tabla16[[#This Row],[Peso(tn)]]*Tabla16[[#This Row],[X(m)]]</f>
        <v>11.566406250000002</v>
      </c>
    </row>
    <row r="369" spans="2:8" x14ac:dyDescent="0.3">
      <c r="B369" s="39" t="s">
        <v>178</v>
      </c>
      <c r="C369" s="31" t="s">
        <v>200</v>
      </c>
      <c r="D369" s="31">
        <f>1.95*0.25*2.5*1.8</f>
        <v>2.1937500000000001</v>
      </c>
      <c r="E369" s="35">
        <f t="shared" si="16"/>
        <v>0.97499999999999998</v>
      </c>
      <c r="F369" s="35">
        <f t="shared" si="17"/>
        <v>4.375</v>
      </c>
      <c r="G369">
        <f>+Tabla16[[#This Row],[Peso(tn)]]*Tabla16[[#This Row],[Y(m)]]</f>
        <v>2.1389062500000002</v>
      </c>
      <c r="H369">
        <f>+Tabla16[[#This Row],[Peso(tn)]]*Tabla16[[#This Row],[X(m)]]</f>
        <v>9.59765625</v>
      </c>
    </row>
    <row r="370" spans="2:8" x14ac:dyDescent="0.3">
      <c r="B370" s="37" t="s">
        <v>15</v>
      </c>
      <c r="C370" s="33"/>
      <c r="D370" s="50">
        <f>SUBTOTAL(109,Tabla16[Peso(tn)])</f>
        <v>30.988350000000001</v>
      </c>
      <c r="G370">
        <f>SUBTOTAL(109,Tabla16[PY])</f>
        <v>122.03537625</v>
      </c>
      <c r="H370">
        <f>SUBTOTAL(109,Tabla16[PX])</f>
        <v>119.40400124999999</v>
      </c>
    </row>
    <row r="372" spans="2:8" ht="15.6" x14ac:dyDescent="0.35">
      <c r="C372" s="36" t="s">
        <v>201</v>
      </c>
      <c r="D372" s="35">
        <f>H370/D370</f>
        <v>3.8531900294788199</v>
      </c>
      <c r="E372" t="s">
        <v>112</v>
      </c>
      <c r="F372" s="36" t="s">
        <v>202</v>
      </c>
      <c r="G372" s="35">
        <f>G370/D370</f>
        <v>3.9381050055908107</v>
      </c>
      <c r="H372" t="s">
        <v>112</v>
      </c>
    </row>
    <row r="401" spans="1:9" x14ac:dyDescent="0.3">
      <c r="E401" s="21" t="s">
        <v>203</v>
      </c>
    </row>
    <row r="403" spans="1:9" ht="16.2" x14ac:dyDescent="0.3">
      <c r="A403" s="71" t="s">
        <v>160</v>
      </c>
      <c r="B403" s="28" t="s">
        <v>161</v>
      </c>
      <c r="C403" s="28" t="s">
        <v>162</v>
      </c>
      <c r="D403" s="28" t="s">
        <v>163</v>
      </c>
      <c r="E403" s="28" t="s">
        <v>164</v>
      </c>
      <c r="F403" s="28" t="s">
        <v>165</v>
      </c>
      <c r="G403" s="28" t="s">
        <v>166</v>
      </c>
      <c r="H403" s="28" t="s">
        <v>167</v>
      </c>
      <c r="I403" s="28" t="s">
        <v>168</v>
      </c>
    </row>
    <row r="404" spans="1:9" x14ac:dyDescent="0.3">
      <c r="A404" s="71"/>
      <c r="B404" s="29" t="s">
        <v>169</v>
      </c>
      <c r="C404" s="32">
        <v>10</v>
      </c>
      <c r="D404" s="32">
        <v>2.5</v>
      </c>
      <c r="E404" s="32">
        <v>0.25</v>
      </c>
      <c r="F404" s="30">
        <f>3*(D404/E404)</f>
        <v>30</v>
      </c>
      <c r="G404" s="30">
        <f>4*POWER(D404/E404,3)</f>
        <v>4000</v>
      </c>
      <c r="H404" s="30">
        <f>+F404+G404</f>
        <v>4030</v>
      </c>
      <c r="I404" s="31">
        <f t="shared" ref="I404:I414" si="18">C404/H404</f>
        <v>2.4813895781637717E-3</v>
      </c>
    </row>
    <row r="405" spans="1:9" x14ac:dyDescent="0.3">
      <c r="A405" s="71"/>
      <c r="B405" s="29" t="s">
        <v>170</v>
      </c>
      <c r="C405" s="32">
        <v>0.15</v>
      </c>
      <c r="D405" s="32">
        <v>2.5</v>
      </c>
      <c r="E405" s="32">
        <v>0.9</v>
      </c>
      <c r="F405" s="30">
        <f t="shared" ref="F405:F424" si="19">3*(D405/E405)</f>
        <v>8.3333333333333321</v>
      </c>
      <c r="G405" s="30">
        <f t="shared" ref="G405:G424" si="20">4*POWER(D405/E405,3)</f>
        <v>85.733882030178322</v>
      </c>
      <c r="H405" s="30">
        <f>+F405+G405</f>
        <v>94.06721536351165</v>
      </c>
      <c r="I405" s="31">
        <f t="shared" si="18"/>
        <v>1.5946044476850166E-3</v>
      </c>
    </row>
    <row r="406" spans="1:9" x14ac:dyDescent="0.3">
      <c r="A406" s="71"/>
      <c r="B406" s="29" t="s">
        <v>171</v>
      </c>
      <c r="C406" s="32">
        <v>0.15</v>
      </c>
      <c r="D406" s="32">
        <v>2.5</v>
      </c>
      <c r="E406" s="32">
        <v>1.1000000000000001</v>
      </c>
      <c r="F406" s="30">
        <f t="shared" si="19"/>
        <v>6.8181818181818175</v>
      </c>
      <c r="G406" s="30">
        <f t="shared" si="20"/>
        <v>46.957175056348589</v>
      </c>
      <c r="H406" s="30">
        <f t="shared" ref="H406:H424" si="21">+F406+G406</f>
        <v>53.775356874530409</v>
      </c>
      <c r="I406" s="31">
        <f t="shared" si="18"/>
        <v>2.7893817673768783E-3</v>
      </c>
    </row>
    <row r="407" spans="1:9" x14ac:dyDescent="0.3">
      <c r="A407" s="71"/>
      <c r="B407" s="29" t="s">
        <v>172</v>
      </c>
      <c r="C407" s="32">
        <v>0.15</v>
      </c>
      <c r="D407" s="32">
        <v>2.5</v>
      </c>
      <c r="E407" s="32">
        <v>1.25</v>
      </c>
      <c r="F407" s="30">
        <f t="shared" si="19"/>
        <v>6</v>
      </c>
      <c r="G407" s="30">
        <f t="shared" si="20"/>
        <v>32</v>
      </c>
      <c r="H407" s="30">
        <f t="shared" si="21"/>
        <v>38</v>
      </c>
      <c r="I407" s="31">
        <f t="shared" si="18"/>
        <v>3.9473684210526317E-3</v>
      </c>
    </row>
    <row r="408" spans="1:9" x14ac:dyDescent="0.3">
      <c r="A408" s="27"/>
      <c r="B408" s="29" t="s">
        <v>173</v>
      </c>
      <c r="C408" s="32">
        <v>10</v>
      </c>
      <c r="D408" s="32">
        <v>2.5</v>
      </c>
      <c r="E408" s="32">
        <v>0.25</v>
      </c>
      <c r="F408" s="30">
        <f t="shared" si="19"/>
        <v>30</v>
      </c>
      <c r="G408" s="30">
        <f t="shared" si="20"/>
        <v>4000</v>
      </c>
      <c r="H408" s="30">
        <f t="shared" si="21"/>
        <v>4030</v>
      </c>
      <c r="I408" s="31">
        <f t="shared" si="18"/>
        <v>2.4813895781637717E-3</v>
      </c>
    </row>
    <row r="409" spans="1:9" x14ac:dyDescent="0.3">
      <c r="A409" s="27"/>
      <c r="B409" s="29" t="s">
        <v>174</v>
      </c>
      <c r="C409" s="32">
        <v>0.15</v>
      </c>
      <c r="D409" s="32">
        <v>2.5</v>
      </c>
      <c r="E409" s="32">
        <v>1.25</v>
      </c>
      <c r="F409" s="30">
        <f t="shared" si="19"/>
        <v>6</v>
      </c>
      <c r="G409" s="30">
        <f t="shared" si="20"/>
        <v>32</v>
      </c>
      <c r="H409" s="30">
        <f t="shared" si="21"/>
        <v>38</v>
      </c>
      <c r="I409" s="31">
        <f t="shared" si="18"/>
        <v>3.9473684210526317E-3</v>
      </c>
    </row>
    <row r="410" spans="1:9" x14ac:dyDescent="0.3">
      <c r="A410" s="27"/>
      <c r="B410" s="29" t="s">
        <v>175</v>
      </c>
      <c r="C410" s="32">
        <v>0.15</v>
      </c>
      <c r="D410" s="32">
        <v>2.5</v>
      </c>
      <c r="E410" s="32">
        <v>1.1000000000000001</v>
      </c>
      <c r="F410" s="30">
        <f t="shared" si="19"/>
        <v>6.8181818181818175</v>
      </c>
      <c r="G410" s="30">
        <f t="shared" si="20"/>
        <v>46.957175056348589</v>
      </c>
      <c r="H410" s="30">
        <f t="shared" si="21"/>
        <v>53.775356874530409</v>
      </c>
      <c r="I410" s="31">
        <f t="shared" si="18"/>
        <v>2.7893817673768783E-3</v>
      </c>
    </row>
    <row r="411" spans="1:9" x14ac:dyDescent="0.3">
      <c r="A411" s="27"/>
      <c r="B411" s="29" t="s">
        <v>176</v>
      </c>
      <c r="C411" s="32">
        <v>0.15</v>
      </c>
      <c r="D411" s="32">
        <v>2.5</v>
      </c>
      <c r="E411" s="32">
        <v>0.9</v>
      </c>
      <c r="F411" s="30">
        <f t="shared" si="19"/>
        <v>8.3333333333333321</v>
      </c>
      <c r="G411" s="30">
        <f t="shared" si="20"/>
        <v>85.733882030178322</v>
      </c>
      <c r="H411" s="30">
        <f t="shared" si="21"/>
        <v>94.06721536351165</v>
      </c>
      <c r="I411" s="31">
        <f t="shared" si="18"/>
        <v>1.5946044476850166E-3</v>
      </c>
    </row>
    <row r="412" spans="1:9" x14ac:dyDescent="0.3">
      <c r="B412" s="29" t="s">
        <v>177</v>
      </c>
      <c r="C412" s="32">
        <v>0.15</v>
      </c>
      <c r="D412" s="32">
        <v>2.5</v>
      </c>
      <c r="E412" s="32">
        <v>2.5</v>
      </c>
      <c r="F412" s="30">
        <f t="shared" si="19"/>
        <v>3</v>
      </c>
      <c r="G412" s="30">
        <f t="shared" si="20"/>
        <v>4</v>
      </c>
      <c r="H412" s="30">
        <f t="shared" si="21"/>
        <v>7</v>
      </c>
      <c r="I412" s="31">
        <f t="shared" si="18"/>
        <v>2.1428571428571429E-2</v>
      </c>
    </row>
    <row r="413" spans="1:9" x14ac:dyDescent="0.3">
      <c r="B413" s="29" t="s">
        <v>178</v>
      </c>
      <c r="C413" s="32">
        <v>0.15</v>
      </c>
      <c r="D413" s="32">
        <v>2.5</v>
      </c>
      <c r="E413" s="32">
        <v>2.5</v>
      </c>
      <c r="F413" s="30">
        <f t="shared" si="19"/>
        <v>3</v>
      </c>
      <c r="G413" s="30">
        <f t="shared" si="20"/>
        <v>4</v>
      </c>
      <c r="H413" s="30">
        <f t="shared" si="21"/>
        <v>7</v>
      </c>
      <c r="I413" s="31">
        <f t="shared" si="18"/>
        <v>2.1428571428571429E-2</v>
      </c>
    </row>
    <row r="414" spans="1:9" x14ac:dyDescent="0.3">
      <c r="B414" s="29" t="s">
        <v>204</v>
      </c>
      <c r="C414" s="32">
        <v>2.0750000000000002</v>
      </c>
      <c r="D414" s="32">
        <v>2.5</v>
      </c>
      <c r="E414" s="32">
        <v>0.25</v>
      </c>
      <c r="F414" s="30">
        <f t="shared" si="19"/>
        <v>30</v>
      </c>
      <c r="G414" s="30">
        <f t="shared" si="20"/>
        <v>4000</v>
      </c>
      <c r="H414" s="30">
        <f t="shared" si="21"/>
        <v>4030</v>
      </c>
      <c r="I414" s="31">
        <f t="shared" si="18"/>
        <v>5.1488833746898268E-4</v>
      </c>
    </row>
    <row r="415" spans="1:9" x14ac:dyDescent="0.3">
      <c r="B415" s="29" t="s">
        <v>205</v>
      </c>
      <c r="C415" s="32">
        <v>0.15</v>
      </c>
      <c r="D415" s="32">
        <v>2.5</v>
      </c>
      <c r="E415" s="32">
        <v>2.35</v>
      </c>
      <c r="F415" s="30">
        <f t="shared" si="19"/>
        <v>3.1914893617021276</v>
      </c>
      <c r="G415" s="30">
        <f t="shared" si="20"/>
        <v>4.8158885796018218</v>
      </c>
      <c r="H415" s="30">
        <f t="shared" si="21"/>
        <v>8.0073779413039503</v>
      </c>
      <c r="I415" s="31">
        <f t="shared" ref="I415:I424" si="22">C415/H415</f>
        <v>1.8732723882841161E-2</v>
      </c>
    </row>
    <row r="416" spans="1:9" x14ac:dyDescent="0.3">
      <c r="B416" s="29" t="s">
        <v>206</v>
      </c>
      <c r="C416" s="32">
        <v>0.15</v>
      </c>
      <c r="D416" s="32">
        <v>2.5</v>
      </c>
      <c r="E416" s="32">
        <v>2.35</v>
      </c>
      <c r="F416" s="30">
        <f t="shared" si="19"/>
        <v>3.1914893617021276</v>
      </c>
      <c r="G416" s="30">
        <f t="shared" si="20"/>
        <v>4.8158885796018218</v>
      </c>
      <c r="H416" s="30">
        <f t="shared" si="21"/>
        <v>8.0073779413039503</v>
      </c>
      <c r="I416" s="31">
        <f t="shared" si="22"/>
        <v>1.8732723882841161E-2</v>
      </c>
    </row>
    <row r="417" spans="1:9" x14ac:dyDescent="0.3">
      <c r="B417" s="29" t="s">
        <v>207</v>
      </c>
      <c r="C417" s="32">
        <v>2.0750000000000002</v>
      </c>
      <c r="D417" s="32">
        <v>2.5</v>
      </c>
      <c r="E417" s="32">
        <v>0.25</v>
      </c>
      <c r="F417" s="30">
        <f t="shared" si="19"/>
        <v>30</v>
      </c>
      <c r="G417" s="30">
        <f t="shared" si="20"/>
        <v>4000</v>
      </c>
      <c r="H417" s="30">
        <f t="shared" si="21"/>
        <v>4030</v>
      </c>
      <c r="I417" s="31">
        <f t="shared" si="22"/>
        <v>5.1488833746898268E-4</v>
      </c>
    </row>
    <row r="418" spans="1:9" x14ac:dyDescent="0.3">
      <c r="B418" s="29" t="s">
        <v>208</v>
      </c>
      <c r="C418" s="32">
        <v>1.925</v>
      </c>
      <c r="D418" s="32">
        <v>2.5</v>
      </c>
      <c r="E418" s="32">
        <v>0.15</v>
      </c>
      <c r="F418" s="30">
        <f t="shared" si="19"/>
        <v>50</v>
      </c>
      <c r="G418" s="30">
        <f t="shared" si="20"/>
        <v>18518.518518518522</v>
      </c>
      <c r="H418" s="30">
        <f t="shared" si="21"/>
        <v>18568.518518518522</v>
      </c>
      <c r="I418" s="31">
        <f t="shared" si="22"/>
        <v>1.0367009075496159E-4</v>
      </c>
    </row>
    <row r="419" spans="1:9" x14ac:dyDescent="0.3">
      <c r="B419" s="29" t="s">
        <v>209</v>
      </c>
      <c r="C419" s="32">
        <v>1.1000000000000001</v>
      </c>
      <c r="D419" s="32">
        <v>2.5</v>
      </c>
      <c r="E419" s="32">
        <v>0.15</v>
      </c>
      <c r="F419" s="30">
        <f t="shared" si="19"/>
        <v>50</v>
      </c>
      <c r="G419" s="30">
        <f t="shared" si="20"/>
        <v>18518.518518518522</v>
      </c>
      <c r="H419" s="30">
        <f t="shared" si="21"/>
        <v>18568.518518518522</v>
      </c>
      <c r="I419" s="31">
        <f t="shared" si="22"/>
        <v>5.9240051859978052E-5</v>
      </c>
    </row>
    <row r="420" spans="1:9" x14ac:dyDescent="0.3">
      <c r="B420" s="29" t="s">
        <v>210</v>
      </c>
      <c r="C420" s="32">
        <v>0.15</v>
      </c>
      <c r="D420" s="32">
        <v>2.5</v>
      </c>
      <c r="E420" s="32">
        <v>0.45</v>
      </c>
      <c r="F420" s="30">
        <f t="shared" si="19"/>
        <v>16.666666666666664</v>
      </c>
      <c r="G420" s="30">
        <f t="shared" si="20"/>
        <v>685.87105624142657</v>
      </c>
      <c r="H420" s="30">
        <f t="shared" si="21"/>
        <v>702.5377229080932</v>
      </c>
      <c r="I420" s="31">
        <f t="shared" si="22"/>
        <v>2.1351166650395394E-4</v>
      </c>
    </row>
    <row r="421" spans="1:9" x14ac:dyDescent="0.3">
      <c r="B421" s="29" t="s">
        <v>211</v>
      </c>
      <c r="C421" s="32">
        <v>1.925</v>
      </c>
      <c r="D421" s="32">
        <v>2.5</v>
      </c>
      <c r="E421" s="32">
        <v>0.15</v>
      </c>
      <c r="F421" s="30">
        <f t="shared" si="19"/>
        <v>50</v>
      </c>
      <c r="G421" s="30">
        <f t="shared" si="20"/>
        <v>18518.518518518522</v>
      </c>
      <c r="H421" s="30">
        <f t="shared" si="21"/>
        <v>18568.518518518522</v>
      </c>
      <c r="I421" s="31">
        <f t="shared" si="22"/>
        <v>1.0367009075496159E-4</v>
      </c>
    </row>
    <row r="422" spans="1:9" x14ac:dyDescent="0.3">
      <c r="B422" s="29" t="s">
        <v>212</v>
      </c>
      <c r="C422" s="32">
        <v>0.15</v>
      </c>
      <c r="D422" s="32">
        <v>2.5</v>
      </c>
      <c r="E422" s="32">
        <v>0.85</v>
      </c>
      <c r="F422" s="30">
        <f t="shared" si="19"/>
        <v>8.8235294117647065</v>
      </c>
      <c r="G422" s="30">
        <f t="shared" si="20"/>
        <v>101.77081213108083</v>
      </c>
      <c r="H422" s="30">
        <f t="shared" si="21"/>
        <v>110.59434154284554</v>
      </c>
      <c r="I422" s="31">
        <f t="shared" si="22"/>
        <v>1.3563080887089348E-3</v>
      </c>
    </row>
    <row r="423" spans="1:9" x14ac:dyDescent="0.3">
      <c r="B423" s="29" t="s">
        <v>213</v>
      </c>
      <c r="C423" s="32">
        <v>0.15</v>
      </c>
      <c r="D423" s="32">
        <v>2.5</v>
      </c>
      <c r="E423" s="32">
        <v>0.85</v>
      </c>
      <c r="F423" s="30">
        <f t="shared" si="19"/>
        <v>8.8235294117647065</v>
      </c>
      <c r="G423" s="30">
        <f t="shared" si="20"/>
        <v>101.77081213108083</v>
      </c>
      <c r="H423" s="30">
        <f t="shared" si="21"/>
        <v>110.59434154284554</v>
      </c>
      <c r="I423" s="31">
        <f t="shared" si="22"/>
        <v>1.3563080887089348E-3</v>
      </c>
    </row>
    <row r="424" spans="1:9" x14ac:dyDescent="0.3">
      <c r="B424" s="29" t="s">
        <v>214</v>
      </c>
      <c r="C424" s="32">
        <v>0.15</v>
      </c>
      <c r="D424" s="32">
        <v>2.5</v>
      </c>
      <c r="E424" s="32">
        <v>0.45</v>
      </c>
      <c r="F424" s="30">
        <f t="shared" si="19"/>
        <v>16.666666666666664</v>
      </c>
      <c r="G424" s="30">
        <f t="shared" si="20"/>
        <v>685.87105624142657</v>
      </c>
      <c r="H424" s="30">
        <f t="shared" si="21"/>
        <v>702.5377229080932</v>
      </c>
      <c r="I424" s="31">
        <f t="shared" si="22"/>
        <v>2.1351166650395394E-4</v>
      </c>
    </row>
    <row r="426" spans="1:9" ht="16.2" x14ac:dyDescent="0.3">
      <c r="A426" s="71" t="s">
        <v>179</v>
      </c>
      <c r="B426" s="28" t="s">
        <v>161</v>
      </c>
      <c r="C426" s="28" t="s">
        <v>162</v>
      </c>
      <c r="D426" s="28" t="s">
        <v>163</v>
      </c>
      <c r="E426" s="28" t="s">
        <v>164</v>
      </c>
      <c r="F426" s="28" t="s">
        <v>165</v>
      </c>
      <c r="G426" s="28" t="s">
        <v>166</v>
      </c>
      <c r="H426" s="28" t="s">
        <v>167</v>
      </c>
      <c r="I426" s="28" t="s">
        <v>180</v>
      </c>
    </row>
    <row r="427" spans="1:9" x14ac:dyDescent="0.3">
      <c r="A427" s="71"/>
      <c r="B427" s="29" t="str">
        <f>+B404</f>
        <v>1-1</v>
      </c>
      <c r="C427" s="32">
        <v>0.25</v>
      </c>
      <c r="D427" s="32">
        <v>2.5</v>
      </c>
      <c r="E427" s="32">
        <v>10</v>
      </c>
      <c r="F427" s="30">
        <f>3*(D427/E427)</f>
        <v>0.75</v>
      </c>
      <c r="G427" s="30">
        <f>4*POWER(D427/E427,3)</f>
        <v>6.25E-2</v>
      </c>
      <c r="H427" s="30">
        <f>+F427+G427</f>
        <v>0.8125</v>
      </c>
      <c r="I427" s="31">
        <f t="shared" ref="I427:I436" si="23">C427/H427</f>
        <v>0.30769230769230771</v>
      </c>
    </row>
    <row r="428" spans="1:9" x14ac:dyDescent="0.3">
      <c r="A428" s="71"/>
      <c r="B428" s="29" t="str">
        <f t="shared" ref="B428:B447" si="24">+B405</f>
        <v>2-2</v>
      </c>
      <c r="C428" s="32">
        <v>0.9</v>
      </c>
      <c r="D428" s="32">
        <v>2.5</v>
      </c>
      <c r="E428" s="32">
        <v>0.15</v>
      </c>
      <c r="F428" s="30">
        <f t="shared" ref="F428:F436" si="25">3*(D428/E428)</f>
        <v>50</v>
      </c>
      <c r="G428" s="30">
        <f t="shared" ref="G428:G436" si="26">4*POWER(D428/E428,3)</f>
        <v>18518.518518518522</v>
      </c>
      <c r="H428" s="30">
        <f t="shared" ref="H428:H436" si="27">+F428+G428</f>
        <v>18568.518518518522</v>
      </c>
      <c r="I428" s="31">
        <f t="shared" si="23"/>
        <v>4.846913333998204E-5</v>
      </c>
    </row>
    <row r="429" spans="1:9" x14ac:dyDescent="0.3">
      <c r="A429" s="71"/>
      <c r="B429" s="29" t="str">
        <f t="shared" si="24"/>
        <v>3-3</v>
      </c>
      <c r="C429" s="32">
        <v>1.1000000000000001</v>
      </c>
      <c r="D429" s="32">
        <v>2.5</v>
      </c>
      <c r="E429" s="32">
        <v>0.15</v>
      </c>
      <c r="F429" s="30">
        <f t="shared" si="25"/>
        <v>50</v>
      </c>
      <c r="G429" s="30">
        <f t="shared" si="26"/>
        <v>18518.518518518522</v>
      </c>
      <c r="H429" s="30">
        <f t="shared" si="27"/>
        <v>18568.518518518522</v>
      </c>
      <c r="I429" s="31">
        <f t="shared" si="23"/>
        <v>5.9240051859978052E-5</v>
      </c>
    </row>
    <row r="430" spans="1:9" x14ac:dyDescent="0.3">
      <c r="A430" s="71"/>
      <c r="B430" s="29" t="str">
        <f t="shared" si="24"/>
        <v>4-4</v>
      </c>
      <c r="C430" s="32">
        <v>1.25</v>
      </c>
      <c r="D430" s="32">
        <v>2.5</v>
      </c>
      <c r="E430" s="32">
        <v>0.15</v>
      </c>
      <c r="F430" s="30">
        <f t="shared" si="25"/>
        <v>50</v>
      </c>
      <c r="G430" s="30">
        <f t="shared" si="26"/>
        <v>18518.518518518522</v>
      </c>
      <c r="H430" s="30">
        <f t="shared" si="27"/>
        <v>18568.518518518522</v>
      </c>
      <c r="I430" s="31">
        <f t="shared" si="23"/>
        <v>6.7318240749975058E-5</v>
      </c>
    </row>
    <row r="431" spans="1:9" x14ac:dyDescent="0.3">
      <c r="A431" s="27"/>
      <c r="B431" s="29" t="str">
        <f t="shared" si="24"/>
        <v>5-5</v>
      </c>
      <c r="C431" s="32">
        <v>0.25</v>
      </c>
      <c r="D431" s="32">
        <v>2.5</v>
      </c>
      <c r="E431" s="32">
        <v>10</v>
      </c>
      <c r="F431" s="30">
        <f t="shared" si="25"/>
        <v>0.75</v>
      </c>
      <c r="G431" s="30">
        <f t="shared" si="26"/>
        <v>6.25E-2</v>
      </c>
      <c r="H431" s="30">
        <f t="shared" si="27"/>
        <v>0.8125</v>
      </c>
      <c r="I431" s="31">
        <f t="shared" si="23"/>
        <v>0.30769230769230771</v>
      </c>
    </row>
    <row r="432" spans="1:9" x14ac:dyDescent="0.3">
      <c r="A432" s="27"/>
      <c r="B432" s="29" t="str">
        <f t="shared" si="24"/>
        <v>6-6</v>
      </c>
      <c r="C432" s="32">
        <v>1.25</v>
      </c>
      <c r="D432" s="32">
        <v>2.5</v>
      </c>
      <c r="E432" s="32">
        <v>0.15</v>
      </c>
      <c r="F432" s="30">
        <f t="shared" si="25"/>
        <v>50</v>
      </c>
      <c r="G432" s="30">
        <f t="shared" si="26"/>
        <v>18518.518518518522</v>
      </c>
      <c r="H432" s="30">
        <f t="shared" si="27"/>
        <v>18568.518518518522</v>
      </c>
      <c r="I432" s="31">
        <f t="shared" si="23"/>
        <v>6.7318240749975058E-5</v>
      </c>
    </row>
    <row r="433" spans="1:9" x14ac:dyDescent="0.3">
      <c r="A433" s="27"/>
      <c r="B433" s="29" t="str">
        <f t="shared" si="24"/>
        <v>7-7</v>
      </c>
      <c r="C433" s="32">
        <v>1.1000000000000001</v>
      </c>
      <c r="D433" s="32">
        <v>2.5</v>
      </c>
      <c r="E433" s="32">
        <v>0.15</v>
      </c>
      <c r="F433" s="30">
        <f t="shared" si="25"/>
        <v>50</v>
      </c>
      <c r="G433" s="30">
        <f t="shared" si="26"/>
        <v>18518.518518518522</v>
      </c>
      <c r="H433" s="30">
        <f t="shared" si="27"/>
        <v>18568.518518518522</v>
      </c>
      <c r="I433" s="31">
        <f t="shared" si="23"/>
        <v>5.9240051859978052E-5</v>
      </c>
    </row>
    <row r="434" spans="1:9" x14ac:dyDescent="0.3">
      <c r="A434" s="27"/>
      <c r="B434" s="29" t="str">
        <f t="shared" si="24"/>
        <v>8-8</v>
      </c>
      <c r="C434" s="32">
        <v>0.9</v>
      </c>
      <c r="D434" s="32">
        <v>2.5</v>
      </c>
      <c r="E434" s="32">
        <v>0.15</v>
      </c>
      <c r="F434" s="30">
        <f t="shared" si="25"/>
        <v>50</v>
      </c>
      <c r="G434" s="30">
        <f t="shared" si="26"/>
        <v>18518.518518518522</v>
      </c>
      <c r="H434" s="30">
        <f t="shared" si="27"/>
        <v>18568.518518518522</v>
      </c>
      <c r="I434" s="31">
        <f t="shared" si="23"/>
        <v>4.846913333998204E-5</v>
      </c>
    </row>
    <row r="435" spans="1:9" x14ac:dyDescent="0.3">
      <c r="B435" s="29" t="str">
        <f t="shared" si="24"/>
        <v>9-9</v>
      </c>
      <c r="C435" s="32">
        <v>2.5</v>
      </c>
      <c r="D435" s="32">
        <v>2.5</v>
      </c>
      <c r="E435" s="32">
        <v>0.15</v>
      </c>
      <c r="F435" s="30">
        <f t="shared" si="25"/>
        <v>50</v>
      </c>
      <c r="G435" s="30">
        <f t="shared" si="26"/>
        <v>18518.518518518522</v>
      </c>
      <c r="H435" s="30">
        <f t="shared" si="27"/>
        <v>18568.518518518522</v>
      </c>
      <c r="I435" s="31">
        <f t="shared" si="23"/>
        <v>1.3463648149995012E-4</v>
      </c>
    </row>
    <row r="436" spans="1:9" x14ac:dyDescent="0.3">
      <c r="B436" s="29" t="str">
        <f t="shared" si="24"/>
        <v>10-10</v>
      </c>
      <c r="C436" s="32">
        <v>2.5</v>
      </c>
      <c r="D436" s="32">
        <v>2.5</v>
      </c>
      <c r="E436" s="32">
        <v>0.15</v>
      </c>
      <c r="F436" s="30">
        <f t="shared" si="25"/>
        <v>50</v>
      </c>
      <c r="G436" s="30">
        <f t="shared" si="26"/>
        <v>18518.518518518522</v>
      </c>
      <c r="H436" s="30">
        <f t="shared" si="27"/>
        <v>18568.518518518522</v>
      </c>
      <c r="I436" s="31">
        <f t="shared" si="23"/>
        <v>1.3463648149995012E-4</v>
      </c>
    </row>
    <row r="437" spans="1:9" x14ac:dyDescent="0.3">
      <c r="B437" s="29" t="str">
        <f t="shared" si="24"/>
        <v>11-11</v>
      </c>
      <c r="C437" s="32">
        <v>0.25</v>
      </c>
      <c r="D437" s="32">
        <v>2.5</v>
      </c>
      <c r="E437" s="32">
        <v>2.0750000000000002</v>
      </c>
      <c r="F437" s="30">
        <f t="shared" ref="F437:F447" si="28">3*(D437/E437)</f>
        <v>3.6144578313253009</v>
      </c>
      <c r="G437" s="30">
        <f t="shared" ref="G437:G447" si="29">4*POWER(D437/E437,3)</f>
        <v>6.9956120023715105</v>
      </c>
      <c r="H437" s="30">
        <f t="shared" ref="H437:H447" si="30">+F437+G437</f>
        <v>10.610069833696812</v>
      </c>
      <c r="I437" s="31">
        <f t="shared" ref="I437:I447" si="31">C437/H437</f>
        <v>2.3562521634496517E-2</v>
      </c>
    </row>
    <row r="438" spans="1:9" x14ac:dyDescent="0.3">
      <c r="B438" s="29" t="str">
        <f t="shared" si="24"/>
        <v>12-12</v>
      </c>
      <c r="C438" s="32">
        <v>2.35</v>
      </c>
      <c r="D438" s="32">
        <v>2.5</v>
      </c>
      <c r="E438" s="32">
        <v>0.15</v>
      </c>
      <c r="F438" s="30">
        <f t="shared" si="28"/>
        <v>50</v>
      </c>
      <c r="G438" s="30">
        <f t="shared" si="29"/>
        <v>18518.518518518522</v>
      </c>
      <c r="H438" s="30">
        <f t="shared" si="30"/>
        <v>18568.518518518522</v>
      </c>
      <c r="I438" s="31">
        <f t="shared" si="31"/>
        <v>1.2655829260995312E-4</v>
      </c>
    </row>
    <row r="439" spans="1:9" x14ac:dyDescent="0.3">
      <c r="B439" s="29" t="str">
        <f t="shared" si="24"/>
        <v>13-13</v>
      </c>
      <c r="C439" s="32">
        <v>2.35</v>
      </c>
      <c r="D439" s="32">
        <v>2.5</v>
      </c>
      <c r="E439" s="32">
        <v>0.15</v>
      </c>
      <c r="F439" s="30">
        <f t="shared" si="28"/>
        <v>50</v>
      </c>
      <c r="G439" s="30">
        <f t="shared" si="29"/>
        <v>18518.518518518522</v>
      </c>
      <c r="H439" s="30">
        <f t="shared" si="30"/>
        <v>18568.518518518522</v>
      </c>
      <c r="I439" s="31">
        <f t="shared" si="31"/>
        <v>1.2655829260995312E-4</v>
      </c>
    </row>
    <row r="440" spans="1:9" x14ac:dyDescent="0.3">
      <c r="B440" s="29" t="str">
        <f t="shared" si="24"/>
        <v>14-14</v>
      </c>
      <c r="C440" s="32">
        <v>0.25</v>
      </c>
      <c r="D440" s="32">
        <v>2.5</v>
      </c>
      <c r="E440" s="32">
        <v>2.0750000000000002</v>
      </c>
      <c r="F440" s="30">
        <f t="shared" si="28"/>
        <v>3.6144578313253009</v>
      </c>
      <c r="G440" s="30">
        <f t="shared" si="29"/>
        <v>6.9956120023715105</v>
      </c>
      <c r="H440" s="30">
        <f t="shared" si="30"/>
        <v>10.610069833696812</v>
      </c>
      <c r="I440" s="31">
        <f t="shared" si="31"/>
        <v>2.3562521634496517E-2</v>
      </c>
    </row>
    <row r="441" spans="1:9" x14ac:dyDescent="0.3">
      <c r="B441" s="29" t="str">
        <f t="shared" si="24"/>
        <v>15-15</v>
      </c>
      <c r="C441" s="32">
        <v>0.15</v>
      </c>
      <c r="D441" s="32">
        <v>2.5</v>
      </c>
      <c r="E441" s="32">
        <v>1.925</v>
      </c>
      <c r="F441" s="30">
        <f t="shared" si="28"/>
        <v>3.8961038961038961</v>
      </c>
      <c r="G441" s="30">
        <f t="shared" si="29"/>
        <v>8.7616886402516361</v>
      </c>
      <c r="H441" s="30">
        <f t="shared" si="30"/>
        <v>12.657792536355533</v>
      </c>
      <c r="I441" s="31">
        <f t="shared" si="31"/>
        <v>1.1850407531105611E-2</v>
      </c>
    </row>
    <row r="442" spans="1:9" x14ac:dyDescent="0.3">
      <c r="B442" s="29" t="str">
        <f t="shared" si="24"/>
        <v>16-16</v>
      </c>
      <c r="C442" s="32">
        <v>0.15</v>
      </c>
      <c r="D442" s="32">
        <v>2.5</v>
      </c>
      <c r="E442" s="32">
        <v>1.1000000000000001</v>
      </c>
      <c r="F442" s="30">
        <f t="shared" si="28"/>
        <v>6.8181818181818175</v>
      </c>
      <c r="G442" s="30">
        <f t="shared" si="29"/>
        <v>46.957175056348589</v>
      </c>
      <c r="H442" s="30">
        <f t="shared" si="30"/>
        <v>53.775356874530409</v>
      </c>
      <c r="I442" s="31">
        <f t="shared" si="31"/>
        <v>2.7893817673768783E-3</v>
      </c>
    </row>
    <row r="443" spans="1:9" x14ac:dyDescent="0.3">
      <c r="B443" s="29" t="str">
        <f t="shared" si="24"/>
        <v>17-17</v>
      </c>
      <c r="C443" s="32">
        <v>0.45</v>
      </c>
      <c r="D443" s="32">
        <v>2.5</v>
      </c>
      <c r="E443" s="32">
        <v>0.15</v>
      </c>
      <c r="F443" s="30">
        <f t="shared" si="28"/>
        <v>50</v>
      </c>
      <c r="G443" s="30">
        <f t="shared" si="29"/>
        <v>18518.518518518522</v>
      </c>
      <c r="H443" s="30">
        <f t="shared" si="30"/>
        <v>18568.518518518522</v>
      </c>
      <c r="I443" s="31">
        <f t="shared" si="31"/>
        <v>2.423456666999102E-5</v>
      </c>
    </row>
    <row r="444" spans="1:9" x14ac:dyDescent="0.3">
      <c r="B444" s="29" t="str">
        <f t="shared" si="24"/>
        <v>18-18</v>
      </c>
      <c r="C444" s="32">
        <v>0.15</v>
      </c>
      <c r="D444" s="32">
        <v>2.5</v>
      </c>
      <c r="E444" s="32">
        <v>1.925</v>
      </c>
      <c r="F444" s="30">
        <f t="shared" si="28"/>
        <v>3.8961038961038961</v>
      </c>
      <c r="G444" s="30">
        <f t="shared" si="29"/>
        <v>8.7616886402516361</v>
      </c>
      <c r="H444" s="30">
        <f t="shared" si="30"/>
        <v>12.657792536355533</v>
      </c>
      <c r="I444" s="31">
        <f t="shared" si="31"/>
        <v>1.1850407531105611E-2</v>
      </c>
    </row>
    <row r="445" spans="1:9" x14ac:dyDescent="0.3">
      <c r="B445" s="29" t="str">
        <f t="shared" si="24"/>
        <v>19-19</v>
      </c>
      <c r="C445" s="32">
        <v>0.85</v>
      </c>
      <c r="D445" s="32">
        <v>2.5</v>
      </c>
      <c r="E445" s="32">
        <v>0.15</v>
      </c>
      <c r="F445" s="30">
        <f t="shared" si="28"/>
        <v>50</v>
      </c>
      <c r="G445" s="30">
        <f t="shared" si="29"/>
        <v>18518.518518518522</v>
      </c>
      <c r="H445" s="30">
        <f t="shared" si="30"/>
        <v>18568.518518518522</v>
      </c>
      <c r="I445" s="31">
        <f t="shared" si="31"/>
        <v>4.5776403709983036E-5</v>
      </c>
    </row>
    <row r="446" spans="1:9" x14ac:dyDescent="0.3">
      <c r="B446" s="29" t="str">
        <f t="shared" si="24"/>
        <v>20-20</v>
      </c>
      <c r="C446" s="32">
        <v>0.85</v>
      </c>
      <c r="D446" s="32">
        <v>2.5</v>
      </c>
      <c r="E446" s="32">
        <v>0.15</v>
      </c>
      <c r="F446" s="30">
        <f t="shared" si="28"/>
        <v>50</v>
      </c>
      <c r="G446" s="30">
        <f t="shared" si="29"/>
        <v>18518.518518518522</v>
      </c>
      <c r="H446" s="30">
        <f t="shared" si="30"/>
        <v>18568.518518518522</v>
      </c>
      <c r="I446" s="31">
        <f t="shared" si="31"/>
        <v>4.5776403709983036E-5</v>
      </c>
    </row>
    <row r="447" spans="1:9" x14ac:dyDescent="0.3">
      <c r="B447" s="29" t="str">
        <f t="shared" si="24"/>
        <v>21-21</v>
      </c>
      <c r="C447" s="32">
        <v>0.45</v>
      </c>
      <c r="D447" s="32">
        <v>2.5</v>
      </c>
      <c r="E447" s="32">
        <v>0.15</v>
      </c>
      <c r="F447" s="30">
        <f t="shared" si="28"/>
        <v>50</v>
      </c>
      <c r="G447" s="30">
        <f t="shared" si="29"/>
        <v>18518.518518518522</v>
      </c>
      <c r="H447" s="30">
        <f t="shared" si="30"/>
        <v>18568.518518518522</v>
      </c>
      <c r="I447" s="31">
        <f t="shared" si="31"/>
        <v>2.423456666999102E-5</v>
      </c>
    </row>
    <row r="449" spans="2:8" x14ac:dyDescent="0.3">
      <c r="D449" s="21" t="s">
        <v>203</v>
      </c>
    </row>
    <row r="451" spans="2:8" x14ac:dyDescent="0.3">
      <c r="B451" s="41" t="s">
        <v>161</v>
      </c>
      <c r="C451" s="42" t="s">
        <v>168</v>
      </c>
      <c r="D451" s="42" t="s">
        <v>180</v>
      </c>
      <c r="E451" s="42" t="s">
        <v>181</v>
      </c>
      <c r="F451" s="42" t="s">
        <v>182</v>
      </c>
      <c r="G451" s="42" t="s">
        <v>183</v>
      </c>
      <c r="H451" s="43" t="s">
        <v>184</v>
      </c>
    </row>
    <row r="452" spans="2:8" x14ac:dyDescent="0.3">
      <c r="B452" s="39" t="str">
        <f>+B427</f>
        <v>1-1</v>
      </c>
      <c r="C452" s="31">
        <f t="shared" ref="C452:C472" si="32">+I404</f>
        <v>2.4813895781637717E-3</v>
      </c>
      <c r="D452" s="31">
        <f t="shared" ref="D452:D472" si="33">+I427</f>
        <v>0.30769230769230771</v>
      </c>
      <c r="E452" s="34">
        <v>5</v>
      </c>
      <c r="F452" s="34">
        <v>0.125</v>
      </c>
      <c r="G452" s="31">
        <f>C452*E452</f>
        <v>1.2406947890818858E-2</v>
      </c>
      <c r="H452" s="40">
        <f>D452*F452</f>
        <v>3.8461538461538464E-2</v>
      </c>
    </row>
    <row r="453" spans="2:8" x14ac:dyDescent="0.3">
      <c r="B453" s="39" t="str">
        <f t="shared" ref="B453:B471" si="34">+B428</f>
        <v>2-2</v>
      </c>
      <c r="C453" s="31">
        <f t="shared" si="32"/>
        <v>1.5946044476850166E-3</v>
      </c>
      <c r="D453" s="31">
        <f t="shared" si="33"/>
        <v>4.846913333998204E-5</v>
      </c>
      <c r="E453" s="34">
        <v>9.9250000000000007</v>
      </c>
      <c r="F453" s="34">
        <v>0.7</v>
      </c>
      <c r="G453" s="31">
        <f t="shared" ref="G453:G461" si="35">C453*E453</f>
        <v>1.5826449143273792E-2</v>
      </c>
      <c r="H453" s="40">
        <f t="shared" ref="H453:H461" si="36">D453*F453</f>
        <v>3.3928393337987423E-5</v>
      </c>
    </row>
    <row r="454" spans="2:8" x14ac:dyDescent="0.3">
      <c r="B454" s="39" t="str">
        <f t="shared" si="34"/>
        <v>3-3</v>
      </c>
      <c r="C454" s="31">
        <f t="shared" si="32"/>
        <v>2.7893817673768783E-3</v>
      </c>
      <c r="D454" s="31">
        <f t="shared" si="33"/>
        <v>5.9240051859978052E-5</v>
      </c>
      <c r="E454" s="34">
        <v>9.9250000000000007</v>
      </c>
      <c r="F454" s="34">
        <v>3.7</v>
      </c>
      <c r="G454" s="31">
        <f t="shared" si="35"/>
        <v>2.768461404121552E-2</v>
      </c>
      <c r="H454" s="40">
        <f t="shared" si="36"/>
        <v>2.1918819188191879E-4</v>
      </c>
    </row>
    <row r="455" spans="2:8" x14ac:dyDescent="0.3">
      <c r="B455" s="39" t="str">
        <f t="shared" si="34"/>
        <v>4-4</v>
      </c>
      <c r="C455" s="31">
        <f t="shared" si="32"/>
        <v>3.9473684210526317E-3</v>
      </c>
      <c r="D455" s="31">
        <f t="shared" si="33"/>
        <v>6.7318240749975058E-5</v>
      </c>
      <c r="E455" s="34">
        <v>9.9250000000000007</v>
      </c>
      <c r="F455" s="34">
        <v>7.125</v>
      </c>
      <c r="G455" s="31">
        <f t="shared" si="35"/>
        <v>3.9177631578947374E-2</v>
      </c>
      <c r="H455" s="40">
        <f t="shared" si="36"/>
        <v>4.7964246534357228E-4</v>
      </c>
    </row>
    <row r="456" spans="2:8" x14ac:dyDescent="0.3">
      <c r="B456" s="39" t="str">
        <f t="shared" si="34"/>
        <v>5-5</v>
      </c>
      <c r="C456" s="31">
        <f t="shared" si="32"/>
        <v>2.4813895781637717E-3</v>
      </c>
      <c r="D456" s="31">
        <f t="shared" si="33"/>
        <v>0.30769230769230771</v>
      </c>
      <c r="E456" s="34">
        <v>5</v>
      </c>
      <c r="F456" s="34">
        <v>7.875</v>
      </c>
      <c r="G456" s="31">
        <f t="shared" si="35"/>
        <v>1.2406947890818858E-2</v>
      </c>
      <c r="H456" s="40">
        <f t="shared" si="36"/>
        <v>2.4230769230769234</v>
      </c>
    </row>
    <row r="457" spans="2:8" x14ac:dyDescent="0.3">
      <c r="B457" s="39" t="str">
        <f t="shared" si="34"/>
        <v>6-6</v>
      </c>
      <c r="C457" s="31">
        <f t="shared" si="32"/>
        <v>3.9473684210526317E-3</v>
      </c>
      <c r="D457" s="31">
        <f t="shared" si="33"/>
        <v>6.7318240749975058E-5</v>
      </c>
      <c r="E457" s="34">
        <v>7.4999999999999997E-2</v>
      </c>
      <c r="F457" s="34">
        <v>7.125</v>
      </c>
      <c r="G457" s="31">
        <f t="shared" si="35"/>
        <v>2.9605263157894739E-4</v>
      </c>
      <c r="H457" s="40">
        <f t="shared" si="36"/>
        <v>4.7964246534357228E-4</v>
      </c>
    </row>
    <row r="458" spans="2:8" x14ac:dyDescent="0.3">
      <c r="B458" s="39" t="str">
        <f t="shared" si="34"/>
        <v>7-7</v>
      </c>
      <c r="C458" s="31">
        <f t="shared" si="32"/>
        <v>2.7893817673768783E-3</v>
      </c>
      <c r="D458" s="31">
        <f t="shared" si="33"/>
        <v>5.9240051859978052E-5</v>
      </c>
      <c r="E458" s="34">
        <v>7.4999999999999997E-2</v>
      </c>
      <c r="F458" s="34">
        <v>3.7</v>
      </c>
      <c r="G458" s="31">
        <f t="shared" si="35"/>
        <v>2.0920363255326585E-4</v>
      </c>
      <c r="H458" s="40">
        <f t="shared" si="36"/>
        <v>2.1918819188191879E-4</v>
      </c>
    </row>
    <row r="459" spans="2:8" x14ac:dyDescent="0.3">
      <c r="B459" s="39" t="str">
        <f t="shared" si="34"/>
        <v>8-8</v>
      </c>
      <c r="C459" s="31">
        <f t="shared" si="32"/>
        <v>1.5946044476850166E-3</v>
      </c>
      <c r="D459" s="31">
        <f t="shared" si="33"/>
        <v>4.846913333998204E-5</v>
      </c>
      <c r="E459" s="34">
        <v>7.4999999999999997E-2</v>
      </c>
      <c r="F459" s="34">
        <v>0.7</v>
      </c>
      <c r="G459" s="31">
        <f t="shared" si="35"/>
        <v>1.1959533357637623E-4</v>
      </c>
      <c r="H459" s="40">
        <f t="shared" si="36"/>
        <v>3.3928393337987423E-5</v>
      </c>
    </row>
    <row r="460" spans="2:8" x14ac:dyDescent="0.3">
      <c r="B460" s="39" t="str">
        <f t="shared" si="34"/>
        <v>9-9</v>
      </c>
      <c r="C460" s="31">
        <f t="shared" si="32"/>
        <v>2.1428571428571429E-2</v>
      </c>
      <c r="D460" s="31">
        <f t="shared" si="33"/>
        <v>1.3463648149995012E-4</v>
      </c>
      <c r="E460" s="34">
        <v>3.9249999999999998</v>
      </c>
      <c r="F460" s="34">
        <v>1.5</v>
      </c>
      <c r="G460" s="31">
        <f t="shared" si="35"/>
        <v>8.4107142857142853E-2</v>
      </c>
      <c r="H460" s="40">
        <f t="shared" si="36"/>
        <v>2.0195472224992519E-4</v>
      </c>
    </row>
    <row r="461" spans="2:8" x14ac:dyDescent="0.3">
      <c r="B461" s="39" t="str">
        <f t="shared" si="34"/>
        <v>10-10</v>
      </c>
      <c r="C461" s="45">
        <f t="shared" si="32"/>
        <v>2.1428571428571429E-2</v>
      </c>
      <c r="D461" s="45">
        <f t="shared" si="33"/>
        <v>1.3463648149995012E-4</v>
      </c>
      <c r="E461" s="46">
        <v>6.0750000000000002</v>
      </c>
      <c r="F461" s="46">
        <v>1.5</v>
      </c>
      <c r="G461" s="45">
        <f t="shared" si="35"/>
        <v>0.13017857142857142</v>
      </c>
      <c r="H461" s="47">
        <f t="shared" si="36"/>
        <v>2.0195472224992519E-4</v>
      </c>
    </row>
    <row r="462" spans="2:8" x14ac:dyDescent="0.3">
      <c r="B462" s="39" t="str">
        <f t="shared" si="34"/>
        <v>11-11</v>
      </c>
      <c r="C462" s="31">
        <f t="shared" si="32"/>
        <v>5.1488833746898268E-4</v>
      </c>
      <c r="D462" s="31">
        <f t="shared" si="33"/>
        <v>2.3562521634496517E-2</v>
      </c>
      <c r="E462" s="34">
        <v>8.9625000000000004</v>
      </c>
      <c r="F462" s="34">
        <v>4.375</v>
      </c>
      <c r="G462" s="31">
        <f t="shared" ref="G462:G468" si="37">C462*E462</f>
        <v>4.6146867245657579E-3</v>
      </c>
      <c r="H462" s="40">
        <f t="shared" ref="H462:H468" si="38">D462*F462</f>
        <v>0.10308603215092227</v>
      </c>
    </row>
    <row r="463" spans="2:8" x14ac:dyDescent="0.3">
      <c r="B463" s="39" t="str">
        <f t="shared" si="34"/>
        <v>12-12</v>
      </c>
      <c r="C463" s="31">
        <f t="shared" si="32"/>
        <v>1.8732723882841161E-2</v>
      </c>
      <c r="D463" s="31">
        <f t="shared" si="33"/>
        <v>1.2655829260995312E-4</v>
      </c>
      <c r="E463" s="34">
        <v>6.0750000000000002</v>
      </c>
      <c r="F463" s="34">
        <v>6.5750000000000002</v>
      </c>
      <c r="G463" s="31">
        <f t="shared" si="37"/>
        <v>0.11380129758826006</v>
      </c>
      <c r="H463" s="40">
        <f t="shared" si="38"/>
        <v>8.321207739104418E-4</v>
      </c>
    </row>
    <row r="464" spans="2:8" x14ac:dyDescent="0.3">
      <c r="B464" s="39" t="str">
        <f t="shared" si="34"/>
        <v>13-13</v>
      </c>
      <c r="C464" s="31">
        <f t="shared" si="32"/>
        <v>1.8732723882841161E-2</v>
      </c>
      <c r="D464" s="31">
        <f t="shared" si="33"/>
        <v>1.2655829260995312E-4</v>
      </c>
      <c r="E464" s="34">
        <v>3.9249999999999998</v>
      </c>
      <c r="F464" s="34">
        <v>6.5750000000000002</v>
      </c>
      <c r="G464" s="31">
        <f t="shared" si="37"/>
        <v>7.3525941240151549E-2</v>
      </c>
      <c r="H464" s="40">
        <f t="shared" si="38"/>
        <v>8.321207739104418E-4</v>
      </c>
    </row>
    <row r="465" spans="2:8" x14ac:dyDescent="0.3">
      <c r="B465" s="39" t="str">
        <f t="shared" si="34"/>
        <v>14-14</v>
      </c>
      <c r="C465" s="31">
        <f t="shared" si="32"/>
        <v>5.1488833746898268E-4</v>
      </c>
      <c r="D465" s="31">
        <f t="shared" si="33"/>
        <v>2.3562521634496517E-2</v>
      </c>
      <c r="E465" s="34">
        <v>1.0375000000000001</v>
      </c>
      <c r="F465" s="34">
        <v>4.375</v>
      </c>
      <c r="G465" s="31">
        <f t="shared" si="37"/>
        <v>5.3419665012406962E-4</v>
      </c>
      <c r="H465" s="40">
        <f t="shared" si="38"/>
        <v>0.10308603215092227</v>
      </c>
    </row>
    <row r="466" spans="2:8" x14ac:dyDescent="0.3">
      <c r="B466" s="39" t="str">
        <f t="shared" si="34"/>
        <v>15-15</v>
      </c>
      <c r="C466" s="31">
        <f t="shared" si="32"/>
        <v>1.0367009075496159E-4</v>
      </c>
      <c r="D466" s="31">
        <f t="shared" si="33"/>
        <v>1.1850407531105611E-2</v>
      </c>
      <c r="E466" s="34">
        <v>7.1124999999999998</v>
      </c>
      <c r="F466" s="34">
        <v>3.7250000000000001</v>
      </c>
      <c r="G466" s="31">
        <f t="shared" si="37"/>
        <v>7.3735352049466424E-4</v>
      </c>
      <c r="H466" s="40">
        <f t="shared" si="38"/>
        <v>4.4142768053368406E-2</v>
      </c>
    </row>
    <row r="467" spans="2:8" x14ac:dyDescent="0.3">
      <c r="B467" s="39" t="str">
        <f t="shared" si="34"/>
        <v>16-16</v>
      </c>
      <c r="C467" s="31">
        <f t="shared" si="32"/>
        <v>5.9240051859978052E-5</v>
      </c>
      <c r="D467" s="31">
        <f t="shared" si="33"/>
        <v>2.7893817673768783E-3</v>
      </c>
      <c r="E467" s="34">
        <v>4.55</v>
      </c>
      <c r="F467" s="34">
        <v>5.4749999999999996</v>
      </c>
      <c r="G467" s="31">
        <f t="shared" si="37"/>
        <v>2.695422359629001E-4</v>
      </c>
      <c r="H467" s="40">
        <f t="shared" si="38"/>
        <v>1.5271865176388408E-2</v>
      </c>
    </row>
    <row r="468" spans="2:8" x14ac:dyDescent="0.3">
      <c r="B468" s="39" t="str">
        <f t="shared" si="34"/>
        <v>17-17</v>
      </c>
      <c r="C468" s="31">
        <f t="shared" si="32"/>
        <v>2.1351166650395394E-4</v>
      </c>
      <c r="D468" s="31">
        <f t="shared" si="33"/>
        <v>2.423456666999102E-5</v>
      </c>
      <c r="E468" s="34">
        <v>2</v>
      </c>
      <c r="F468" s="34">
        <v>4.0250000000000004</v>
      </c>
      <c r="G468" s="31">
        <f t="shared" si="37"/>
        <v>4.2702333300790788E-4</v>
      </c>
      <c r="H468" s="40">
        <f t="shared" si="38"/>
        <v>9.7544130846713862E-5</v>
      </c>
    </row>
    <row r="469" spans="2:8" x14ac:dyDescent="0.3">
      <c r="B469" s="39" t="str">
        <f>+B444</f>
        <v>18-18</v>
      </c>
      <c r="C469" s="31">
        <f t="shared" si="32"/>
        <v>1.0367009075496159E-4</v>
      </c>
      <c r="D469" s="31">
        <f t="shared" si="33"/>
        <v>1.1850407531105611E-2</v>
      </c>
      <c r="E469" s="34">
        <v>2.8875000000000002</v>
      </c>
      <c r="F469" s="34">
        <v>3.7250000000000001</v>
      </c>
      <c r="G469" s="31">
        <f t="shared" ref="G469:G471" si="39">C469*E469</f>
        <v>2.9934738705495161E-4</v>
      </c>
      <c r="H469" s="40">
        <f t="shared" ref="H469:H471" si="40">D469*F469</f>
        <v>4.4142768053368406E-2</v>
      </c>
    </row>
    <row r="470" spans="2:8" x14ac:dyDescent="0.3">
      <c r="B470" s="39" t="str">
        <f t="shared" si="34"/>
        <v>19-19</v>
      </c>
      <c r="C470" s="31">
        <f t="shared" si="32"/>
        <v>1.3563080887089348E-3</v>
      </c>
      <c r="D470" s="31">
        <f t="shared" si="33"/>
        <v>4.5776403709983036E-5</v>
      </c>
      <c r="E470" s="34">
        <v>6.0750000000000002</v>
      </c>
      <c r="F470" s="34">
        <v>4.0750000000000002</v>
      </c>
      <c r="G470" s="31">
        <f t="shared" si="39"/>
        <v>8.2395716389067793E-3</v>
      </c>
      <c r="H470" s="40">
        <f t="shared" si="40"/>
        <v>1.8653884511818088E-4</v>
      </c>
    </row>
    <row r="471" spans="2:8" x14ac:dyDescent="0.3">
      <c r="B471" s="39" t="str">
        <f t="shared" si="34"/>
        <v>20-20</v>
      </c>
      <c r="C471" s="31">
        <f t="shared" si="32"/>
        <v>1.3563080887089348E-3</v>
      </c>
      <c r="D471" s="31">
        <f t="shared" si="33"/>
        <v>4.5776403709983036E-5</v>
      </c>
      <c r="E471" s="34">
        <v>3.9249999999999998</v>
      </c>
      <c r="F471" s="34">
        <v>4.0750000000000002</v>
      </c>
      <c r="G471" s="31">
        <f t="shared" si="39"/>
        <v>5.3235092481825688E-3</v>
      </c>
      <c r="H471" s="40">
        <f t="shared" si="40"/>
        <v>1.8653884511818088E-4</v>
      </c>
    </row>
    <row r="472" spans="2:8" x14ac:dyDescent="0.3">
      <c r="B472" s="39" t="str">
        <f>+B447</f>
        <v>21-21</v>
      </c>
      <c r="C472" s="31">
        <f t="shared" si="32"/>
        <v>2.1351166650395394E-4</v>
      </c>
      <c r="D472" s="31">
        <f t="shared" si="33"/>
        <v>2.423456666999102E-5</v>
      </c>
      <c r="E472" s="34">
        <v>8</v>
      </c>
      <c r="F472" s="34">
        <v>4.0250000000000004</v>
      </c>
      <c r="G472" s="31">
        <f>C472*E472</f>
        <v>1.7080933320316315E-3</v>
      </c>
      <c r="H472" s="40">
        <f>D472*F472</f>
        <v>9.7544130846713862E-5</v>
      </c>
    </row>
    <row r="473" spans="2:8" x14ac:dyDescent="0.3">
      <c r="B473" s="48" t="s">
        <v>15</v>
      </c>
      <c r="C473" s="45">
        <f>SUBTOTAL(109,Tabla718[Kx/E])</f>
        <v>0.10638407547011541</v>
      </c>
      <c r="D473" s="45">
        <f>SUBTOTAL(109,Tabla718[Ky/E])</f>
        <v>0.69001232182407646</v>
      </c>
      <c r="E473" s="49"/>
      <c r="F473" s="49"/>
      <c r="G473" s="45">
        <f>SUBTOTAL(109,Tabla718[(Kx/E)y])</f>
        <v>0.53189371932724006</v>
      </c>
      <c r="H473" s="47">
        <f>SUBTOTAL(109,Tabla718[(Ky/E)x])</f>
        <v>2.7753697621688085</v>
      </c>
    </row>
    <row r="475" spans="2:8" ht="15.6" x14ac:dyDescent="0.35">
      <c r="C475" s="51" t="s">
        <v>215</v>
      </c>
      <c r="D475" s="35">
        <f>+Tabla718[[#Totals],[(Ky/E)x]]/Tabla718[[#Totals],[Ky/E]]</f>
        <v>4.0222031902734754</v>
      </c>
      <c r="E475" t="s">
        <v>112</v>
      </c>
      <c r="F475" s="36" t="s">
        <v>186</v>
      </c>
      <c r="G475" s="35">
        <f>+Tabla718[[#Totals],[(Kx/E)y]]/Tabla718[[#Totals],[Kx/E]]</f>
        <v>4.9997494171639953</v>
      </c>
      <c r="H475" t="s">
        <v>112</v>
      </c>
    </row>
    <row r="477" spans="2:8" x14ac:dyDescent="0.3">
      <c r="D477" s="21" t="s">
        <v>216</v>
      </c>
    </row>
    <row r="479" spans="2:8" x14ac:dyDescent="0.3">
      <c r="B479" s="38" t="s">
        <v>161</v>
      </c>
      <c r="C479" s="28" t="s">
        <v>188</v>
      </c>
      <c r="D479" s="28" t="s">
        <v>189</v>
      </c>
      <c r="E479" s="37" t="s">
        <v>181</v>
      </c>
      <c r="F479" s="37" t="s">
        <v>182</v>
      </c>
      <c r="G479" s="37" t="s">
        <v>190</v>
      </c>
      <c r="H479" s="37" t="s">
        <v>191</v>
      </c>
    </row>
    <row r="480" spans="2:8" x14ac:dyDescent="0.3">
      <c r="B480" s="39" t="str">
        <f>+B452</f>
        <v>1-1</v>
      </c>
      <c r="C480" s="31" t="s">
        <v>217</v>
      </c>
      <c r="D480" s="31">
        <f>10*0.25*2.5*1.8</f>
        <v>11.25</v>
      </c>
      <c r="E480" s="35">
        <f>+E452</f>
        <v>5</v>
      </c>
      <c r="F480" s="35">
        <f t="shared" ref="E480:F489" si="41">+F452</f>
        <v>0.125</v>
      </c>
      <c r="G480">
        <f>+Tabla1619[[#This Row],[Peso(tn)]]*Tabla1619[[#This Row],[Y(m)]]</f>
        <v>56.25</v>
      </c>
      <c r="H480">
        <f>+Tabla1619[[#This Row],[Peso(tn)]]*Tabla1619[[#This Row],[X(m)]]</f>
        <v>1.40625</v>
      </c>
    </row>
    <row r="481" spans="2:8" x14ac:dyDescent="0.3">
      <c r="B481" s="39" t="str">
        <f t="shared" ref="B481:B500" si="42">+B453</f>
        <v>2-2</v>
      </c>
      <c r="C481" s="31" t="s">
        <v>218</v>
      </c>
      <c r="D481" s="31">
        <f>0.9*0.15*2.5*1.8</f>
        <v>0.60750000000000004</v>
      </c>
      <c r="E481" s="35">
        <f t="shared" si="41"/>
        <v>9.9250000000000007</v>
      </c>
      <c r="F481" s="35">
        <f t="shared" si="41"/>
        <v>0.7</v>
      </c>
      <c r="G481">
        <f>+Tabla1619[[#This Row],[Peso(tn)]]*Tabla1619[[#This Row],[Y(m)]]</f>
        <v>6.0294375000000011</v>
      </c>
      <c r="H481">
        <f>+Tabla1619[[#This Row],[Peso(tn)]]*Tabla1619[[#This Row],[X(m)]]</f>
        <v>0.42525000000000002</v>
      </c>
    </row>
    <row r="482" spans="2:8" x14ac:dyDescent="0.3">
      <c r="B482" s="39" t="str">
        <f t="shared" si="42"/>
        <v>3-3</v>
      </c>
      <c r="C482" s="31" t="s">
        <v>219</v>
      </c>
      <c r="D482" s="31">
        <f>1.1*0.15*2.5*1.8</f>
        <v>0.74250000000000005</v>
      </c>
      <c r="E482" s="35">
        <f t="shared" si="41"/>
        <v>9.9250000000000007</v>
      </c>
      <c r="F482" s="35">
        <f t="shared" si="41"/>
        <v>3.7</v>
      </c>
      <c r="G482">
        <f>+Tabla1619[[#This Row],[Peso(tn)]]*Tabla1619[[#This Row],[Y(m)]]</f>
        <v>7.3693125000000013</v>
      </c>
      <c r="H482">
        <f>+Tabla1619[[#This Row],[Peso(tn)]]*Tabla1619[[#This Row],[X(m)]]</f>
        <v>2.7472500000000002</v>
      </c>
    </row>
    <row r="483" spans="2:8" x14ac:dyDescent="0.3">
      <c r="B483" s="39" t="str">
        <f t="shared" si="42"/>
        <v>4-4</v>
      </c>
      <c r="C483" s="31" t="s">
        <v>220</v>
      </c>
      <c r="D483" s="31">
        <f>1.25*0.15*2.5*1.8</f>
        <v>0.84375</v>
      </c>
      <c r="E483" s="35">
        <f t="shared" si="41"/>
        <v>9.9250000000000007</v>
      </c>
      <c r="F483" s="35">
        <f t="shared" si="41"/>
        <v>7.125</v>
      </c>
      <c r="G483">
        <f>+Tabla1619[[#This Row],[Peso(tn)]]*Tabla1619[[#This Row],[Y(m)]]</f>
        <v>8.3742187500000007</v>
      </c>
      <c r="H483">
        <f>+Tabla1619[[#This Row],[Peso(tn)]]*Tabla1619[[#This Row],[X(m)]]</f>
        <v>6.01171875</v>
      </c>
    </row>
    <row r="484" spans="2:8" x14ac:dyDescent="0.3">
      <c r="B484" s="39" t="str">
        <f t="shared" si="42"/>
        <v>5-5</v>
      </c>
      <c r="C484" s="31" t="s">
        <v>217</v>
      </c>
      <c r="D484" s="31">
        <f>10*0.25*2.5*1.8</f>
        <v>11.25</v>
      </c>
      <c r="E484" s="35">
        <f t="shared" si="41"/>
        <v>5</v>
      </c>
      <c r="F484" s="35">
        <f t="shared" si="41"/>
        <v>7.875</v>
      </c>
      <c r="G484">
        <f>+Tabla1619[[#This Row],[Peso(tn)]]*Tabla1619[[#This Row],[Y(m)]]</f>
        <v>56.25</v>
      </c>
      <c r="H484">
        <f>+Tabla1619[[#This Row],[Peso(tn)]]*Tabla1619[[#This Row],[X(m)]]</f>
        <v>88.59375</v>
      </c>
    </row>
    <row r="485" spans="2:8" x14ac:dyDescent="0.3">
      <c r="B485" s="39" t="str">
        <f t="shared" si="42"/>
        <v>6-6</v>
      </c>
      <c r="C485" s="31" t="s">
        <v>220</v>
      </c>
      <c r="D485" s="31">
        <f>1.25*0.15*2.5*1.8</f>
        <v>0.84375</v>
      </c>
      <c r="E485" s="35">
        <f t="shared" si="41"/>
        <v>7.4999999999999997E-2</v>
      </c>
      <c r="F485" s="35">
        <f t="shared" si="41"/>
        <v>7.125</v>
      </c>
      <c r="G485">
        <f>+Tabla1619[[#This Row],[Peso(tn)]]*Tabla1619[[#This Row],[Y(m)]]</f>
        <v>6.3281249999999997E-2</v>
      </c>
      <c r="H485">
        <f>+Tabla1619[[#This Row],[Peso(tn)]]*Tabla1619[[#This Row],[X(m)]]</f>
        <v>6.01171875</v>
      </c>
    </row>
    <row r="486" spans="2:8" x14ac:dyDescent="0.3">
      <c r="B486" s="39" t="str">
        <f t="shared" si="42"/>
        <v>7-7</v>
      </c>
      <c r="C486" s="31" t="s">
        <v>219</v>
      </c>
      <c r="D486" s="31">
        <f>1.1*0.15*2.5*1.8</f>
        <v>0.74250000000000005</v>
      </c>
      <c r="E486" s="35">
        <f t="shared" si="41"/>
        <v>7.4999999999999997E-2</v>
      </c>
      <c r="F486" s="35">
        <f t="shared" si="41"/>
        <v>3.7</v>
      </c>
      <c r="G486">
        <f>+Tabla1619[[#This Row],[Peso(tn)]]*Tabla1619[[#This Row],[Y(m)]]</f>
        <v>5.5687500000000001E-2</v>
      </c>
      <c r="H486">
        <f>+Tabla1619[[#This Row],[Peso(tn)]]*Tabla1619[[#This Row],[X(m)]]</f>
        <v>2.7472500000000002</v>
      </c>
    </row>
    <row r="487" spans="2:8" x14ac:dyDescent="0.3">
      <c r="B487" s="39" t="str">
        <f t="shared" si="42"/>
        <v>8-8</v>
      </c>
      <c r="C487" s="31" t="s">
        <v>218</v>
      </c>
      <c r="D487" s="31">
        <f>0.9*0.15*2.5*1.8</f>
        <v>0.60750000000000004</v>
      </c>
      <c r="E487" s="35">
        <f t="shared" si="41"/>
        <v>7.4999999999999997E-2</v>
      </c>
      <c r="F487" s="35">
        <f t="shared" si="41"/>
        <v>0.7</v>
      </c>
      <c r="G487">
        <f>+Tabla1619[[#This Row],[Peso(tn)]]*Tabla1619[[#This Row],[Y(m)]]</f>
        <v>4.5562499999999999E-2</v>
      </c>
      <c r="H487">
        <f>+Tabla1619[[#This Row],[Peso(tn)]]*Tabla1619[[#This Row],[X(m)]]</f>
        <v>0.42525000000000002</v>
      </c>
    </row>
    <row r="488" spans="2:8" x14ac:dyDescent="0.3">
      <c r="B488" s="39" t="str">
        <f t="shared" si="42"/>
        <v>9-9</v>
      </c>
      <c r="C488" s="31" t="s">
        <v>193</v>
      </c>
      <c r="D488" s="31">
        <f>2.5*0.15*2.5*1.8</f>
        <v>1.6875</v>
      </c>
      <c r="E488" s="35">
        <f t="shared" si="41"/>
        <v>3.9249999999999998</v>
      </c>
      <c r="F488" s="35">
        <f t="shared" si="41"/>
        <v>1.5</v>
      </c>
      <c r="G488">
        <f>+Tabla1619[[#This Row],[Peso(tn)]]*Tabla1619[[#This Row],[Y(m)]]</f>
        <v>6.6234374999999996</v>
      </c>
      <c r="H488">
        <f>+Tabla1619[[#This Row],[Peso(tn)]]*Tabla1619[[#This Row],[X(m)]]</f>
        <v>2.53125</v>
      </c>
    </row>
    <row r="489" spans="2:8" x14ac:dyDescent="0.3">
      <c r="B489" s="39" t="str">
        <f t="shared" si="42"/>
        <v>10-10</v>
      </c>
      <c r="C489" s="31" t="s">
        <v>193</v>
      </c>
      <c r="D489" s="31">
        <f>2.5*0.15*2.5*1.8</f>
        <v>1.6875</v>
      </c>
      <c r="E489" s="35">
        <f t="shared" si="41"/>
        <v>6.0750000000000002</v>
      </c>
      <c r="F489" s="35">
        <f t="shared" si="41"/>
        <v>1.5</v>
      </c>
      <c r="G489">
        <f>+Tabla1619[[#This Row],[Peso(tn)]]*Tabla1619[[#This Row],[Y(m)]]</f>
        <v>10.2515625</v>
      </c>
      <c r="H489">
        <f>+Tabla1619[[#This Row],[Peso(tn)]]*Tabla1619[[#This Row],[X(m)]]</f>
        <v>2.53125</v>
      </c>
    </row>
    <row r="490" spans="2:8" x14ac:dyDescent="0.3">
      <c r="B490" s="39" t="str">
        <f t="shared" si="42"/>
        <v>11-11</v>
      </c>
      <c r="C490" s="31" t="s">
        <v>221</v>
      </c>
      <c r="D490" s="31">
        <f>2.075*0.25*2.5*1.8</f>
        <v>2.3343750000000001</v>
      </c>
      <c r="E490" s="35">
        <f t="shared" ref="E490:E498" si="43">+E462</f>
        <v>8.9625000000000004</v>
      </c>
      <c r="F490" s="35">
        <f t="shared" ref="F490:F498" si="44">+F462</f>
        <v>4.375</v>
      </c>
      <c r="G490">
        <f>+Tabla1619[[#This Row],[Peso(tn)]]*Tabla1619[[#This Row],[Y(m)]]</f>
        <v>20.921835937500003</v>
      </c>
      <c r="H490">
        <f>+Tabla1619[[#This Row],[Peso(tn)]]*Tabla1619[[#This Row],[X(m)]]</f>
        <v>10.212890625</v>
      </c>
    </row>
    <row r="491" spans="2:8" x14ac:dyDescent="0.3">
      <c r="B491" s="39" t="str">
        <f t="shared" si="42"/>
        <v>12-12</v>
      </c>
      <c r="C491" s="31" t="s">
        <v>222</v>
      </c>
      <c r="D491" s="31">
        <f>2.35*0.15*2.5*1.8</f>
        <v>1.5862499999999999</v>
      </c>
      <c r="E491" s="35">
        <f t="shared" si="43"/>
        <v>6.0750000000000002</v>
      </c>
      <c r="F491" s="35">
        <f t="shared" si="44"/>
        <v>6.5750000000000002</v>
      </c>
      <c r="G491">
        <f>+Tabla1619[[#This Row],[Peso(tn)]]*Tabla1619[[#This Row],[Y(m)]]</f>
        <v>9.6364687500000006</v>
      </c>
      <c r="H491">
        <f>+Tabla1619[[#This Row],[Peso(tn)]]*Tabla1619[[#This Row],[X(m)]]</f>
        <v>10.42959375</v>
      </c>
    </row>
    <row r="492" spans="2:8" x14ac:dyDescent="0.3">
      <c r="B492" s="39" t="str">
        <f t="shared" si="42"/>
        <v>13-13</v>
      </c>
      <c r="C492" s="31" t="s">
        <v>222</v>
      </c>
      <c r="D492" s="31">
        <f>2.35*0.15*2.5*1.8</f>
        <v>1.5862499999999999</v>
      </c>
      <c r="E492" s="35">
        <f t="shared" si="43"/>
        <v>3.9249999999999998</v>
      </c>
      <c r="F492" s="35">
        <f t="shared" si="44"/>
        <v>6.5750000000000002</v>
      </c>
      <c r="G492">
        <f>+Tabla1619[[#This Row],[Peso(tn)]]*Tabla1619[[#This Row],[Y(m)]]</f>
        <v>6.2260312499999992</v>
      </c>
      <c r="H492">
        <f>+Tabla1619[[#This Row],[Peso(tn)]]*Tabla1619[[#This Row],[X(m)]]</f>
        <v>10.42959375</v>
      </c>
    </row>
    <row r="493" spans="2:8" x14ac:dyDescent="0.3">
      <c r="B493" s="39" t="str">
        <f t="shared" si="42"/>
        <v>14-14</v>
      </c>
      <c r="C493" s="31" t="s">
        <v>221</v>
      </c>
      <c r="D493" s="31">
        <f>2.075*0.25*2.5*1.8</f>
        <v>2.3343750000000001</v>
      </c>
      <c r="E493" s="35">
        <f t="shared" si="43"/>
        <v>1.0375000000000001</v>
      </c>
      <c r="F493" s="35">
        <f t="shared" si="44"/>
        <v>4.375</v>
      </c>
      <c r="G493">
        <f>+Tabla1619[[#This Row],[Peso(tn)]]*Tabla1619[[#This Row],[Y(m)]]</f>
        <v>2.4219140625000004</v>
      </c>
      <c r="H493">
        <f>+Tabla1619[[#This Row],[Peso(tn)]]*Tabla1619[[#This Row],[X(m)]]</f>
        <v>10.212890625</v>
      </c>
    </row>
    <row r="494" spans="2:8" x14ac:dyDescent="0.3">
      <c r="B494" s="39" t="str">
        <f t="shared" si="42"/>
        <v>15-15</v>
      </c>
      <c r="C494" s="31" t="s">
        <v>223</v>
      </c>
      <c r="D494" s="31">
        <f>1.925*0.15*2.5*1.8</f>
        <v>1.2993750000000002</v>
      </c>
      <c r="E494" s="35">
        <f t="shared" si="43"/>
        <v>7.1124999999999998</v>
      </c>
      <c r="F494" s="35">
        <f t="shared" si="44"/>
        <v>3.7250000000000001</v>
      </c>
      <c r="G494">
        <f>+Tabla1619[[#This Row],[Peso(tn)]]*Tabla1619[[#This Row],[Y(m)]]</f>
        <v>9.2418046875000002</v>
      </c>
      <c r="H494">
        <f>+Tabla1619[[#This Row],[Peso(tn)]]*Tabla1619[[#This Row],[X(m)]]</f>
        <v>4.8401718750000011</v>
      </c>
    </row>
    <row r="495" spans="2:8" x14ac:dyDescent="0.3">
      <c r="B495" s="39" t="str">
        <f t="shared" si="42"/>
        <v>16-16</v>
      </c>
      <c r="C495" s="31" t="s">
        <v>224</v>
      </c>
      <c r="D495" s="31">
        <f>1.1*0.15*2.5*1.8</f>
        <v>0.74250000000000005</v>
      </c>
      <c r="E495" s="35">
        <f t="shared" si="43"/>
        <v>4.55</v>
      </c>
      <c r="F495" s="35">
        <f t="shared" si="44"/>
        <v>5.4749999999999996</v>
      </c>
      <c r="G495">
        <f>+Tabla1619[[#This Row],[Peso(tn)]]*Tabla1619[[#This Row],[Y(m)]]</f>
        <v>3.3783750000000001</v>
      </c>
      <c r="H495">
        <f>+Tabla1619[[#This Row],[Peso(tn)]]*Tabla1619[[#This Row],[X(m)]]</f>
        <v>4.0651875000000004</v>
      </c>
    </row>
    <row r="496" spans="2:8" x14ac:dyDescent="0.3">
      <c r="B496" s="39" t="str">
        <f t="shared" si="42"/>
        <v>17-17</v>
      </c>
      <c r="C496" s="31" t="s">
        <v>225</v>
      </c>
      <c r="D496" s="31">
        <f>0.45*0.15*2.5*1.8</f>
        <v>0.30375000000000002</v>
      </c>
      <c r="E496" s="35">
        <f t="shared" si="43"/>
        <v>2</v>
      </c>
      <c r="F496" s="35">
        <f t="shared" si="44"/>
        <v>4.0250000000000004</v>
      </c>
      <c r="G496">
        <f>+Tabla1619[[#This Row],[Peso(tn)]]*Tabla1619[[#This Row],[Y(m)]]</f>
        <v>0.60750000000000004</v>
      </c>
      <c r="H496">
        <f>+Tabla1619[[#This Row],[Peso(tn)]]*Tabla1619[[#This Row],[X(m)]]</f>
        <v>1.2225937500000001</v>
      </c>
    </row>
    <row r="497" spans="2:8" x14ac:dyDescent="0.3">
      <c r="B497" s="39" t="str">
        <f t="shared" si="42"/>
        <v>18-18</v>
      </c>
      <c r="C497" s="31" t="s">
        <v>223</v>
      </c>
      <c r="D497" s="31">
        <f>1.925*0.15*2.5*1.8</f>
        <v>1.2993750000000002</v>
      </c>
      <c r="E497" s="35">
        <f t="shared" si="43"/>
        <v>2.8875000000000002</v>
      </c>
      <c r="F497" s="35">
        <f t="shared" si="44"/>
        <v>3.7250000000000001</v>
      </c>
      <c r="G497">
        <f>+Tabla1619[[#This Row],[Peso(tn)]]*Tabla1619[[#This Row],[Y(m)]]</f>
        <v>3.7519453125000006</v>
      </c>
      <c r="H497">
        <f>+Tabla1619[[#This Row],[Peso(tn)]]*Tabla1619[[#This Row],[X(m)]]</f>
        <v>4.8401718750000011</v>
      </c>
    </row>
    <row r="498" spans="2:8" x14ac:dyDescent="0.3">
      <c r="B498" s="39" t="str">
        <f t="shared" si="42"/>
        <v>19-19</v>
      </c>
      <c r="C498" s="31" t="s">
        <v>226</v>
      </c>
      <c r="D498" s="31">
        <f>0.85*0.15*2.5*1.8</f>
        <v>0.57374999999999998</v>
      </c>
      <c r="E498" s="35">
        <f t="shared" si="43"/>
        <v>6.0750000000000002</v>
      </c>
      <c r="F498" s="35">
        <f t="shared" si="44"/>
        <v>4.0750000000000002</v>
      </c>
      <c r="G498">
        <f>+Tabla1619[[#This Row],[Peso(tn)]]*Tabla1619[[#This Row],[Y(m)]]</f>
        <v>3.4855312500000002</v>
      </c>
      <c r="H498">
        <f>+Tabla1619[[#This Row],[Peso(tn)]]*Tabla1619[[#This Row],[X(m)]]</f>
        <v>2.3380312500000002</v>
      </c>
    </row>
    <row r="499" spans="2:8" x14ac:dyDescent="0.3">
      <c r="B499" s="39" t="str">
        <f>+B471</f>
        <v>20-20</v>
      </c>
      <c r="C499" s="31" t="s">
        <v>226</v>
      </c>
      <c r="D499" s="31">
        <f>0.85*0.15*2.5*1.8</f>
        <v>0.57374999999999998</v>
      </c>
      <c r="E499" s="35">
        <f t="shared" ref="E499:E500" si="45">+E471</f>
        <v>3.9249999999999998</v>
      </c>
      <c r="F499" s="35">
        <f t="shared" ref="F499:F500" si="46">+F471</f>
        <v>4.0750000000000002</v>
      </c>
      <c r="G499">
        <f>+Tabla1619[[#This Row],[Peso(tn)]]*Tabla1619[[#This Row],[Y(m)]]</f>
        <v>2.2519687499999996</v>
      </c>
      <c r="H499">
        <f>+Tabla1619[[#This Row],[Peso(tn)]]*Tabla1619[[#This Row],[X(m)]]</f>
        <v>2.3380312500000002</v>
      </c>
    </row>
    <row r="500" spans="2:8" x14ac:dyDescent="0.3">
      <c r="B500" s="39" t="str">
        <f t="shared" si="42"/>
        <v>21-21</v>
      </c>
      <c r="C500" s="31" t="s">
        <v>225</v>
      </c>
      <c r="D500" s="31">
        <f>0.45*0.15*2.5*1.8</f>
        <v>0.30375000000000002</v>
      </c>
      <c r="E500" s="35">
        <f t="shared" si="45"/>
        <v>8</v>
      </c>
      <c r="F500" s="35">
        <f t="shared" si="46"/>
        <v>4.0250000000000004</v>
      </c>
      <c r="G500">
        <f>+Tabla1619[[#This Row],[Peso(tn)]]*Tabla1619[[#This Row],[Y(m)]]</f>
        <v>2.4300000000000002</v>
      </c>
      <c r="H500">
        <f>+Tabla1619[[#This Row],[Peso(tn)]]*Tabla1619[[#This Row],[X(m)]]</f>
        <v>1.2225937500000001</v>
      </c>
    </row>
    <row r="501" spans="2:8" x14ac:dyDescent="0.3">
      <c r="B501" s="37" t="s">
        <v>15</v>
      </c>
      <c r="C501" s="33"/>
      <c r="D501" s="50">
        <f>SUBTOTAL(109,Tabla1619[Peso(tn)])</f>
        <v>43.199999999999996</v>
      </c>
      <c r="G501">
        <f>SUBTOTAL(109,Tabla1619[PY])</f>
        <v>215.66587500000003</v>
      </c>
      <c r="H501">
        <f>SUBTOTAL(109,Tabla1619[PX])</f>
        <v>175.58268750000002</v>
      </c>
    </row>
    <row r="503" spans="2:8" ht="15.6" x14ac:dyDescent="0.35">
      <c r="C503" s="51" t="s">
        <v>227</v>
      </c>
      <c r="D503" s="35">
        <f>+Tabla1619[[#Totals],[PX]]/Tabla1619[[#Totals],[Peso(tn)]]</f>
        <v>4.0644140625000009</v>
      </c>
      <c r="E503" t="s">
        <v>112</v>
      </c>
      <c r="F503" s="36" t="s">
        <v>202</v>
      </c>
      <c r="G503" s="35">
        <f>+Tabla1619[[#Totals],[PY]]/Tabla1619[[#Totals],[Peso(tn)]]</f>
        <v>4.9922656250000008</v>
      </c>
      <c r="H503" t="s">
        <v>112</v>
      </c>
    </row>
    <row r="505" spans="2:8" x14ac:dyDescent="0.3">
      <c r="B505" s="19" t="s">
        <v>228</v>
      </c>
    </row>
    <row r="510" spans="2:8" x14ac:dyDescent="0.3">
      <c r="B510" t="s">
        <v>229</v>
      </c>
    </row>
    <row r="516" spans="2:5" x14ac:dyDescent="0.3">
      <c r="B516" t="s">
        <v>27</v>
      </c>
    </row>
    <row r="517" spans="2:5" ht="15.6" x14ac:dyDescent="0.35">
      <c r="C517" s="36" t="s">
        <v>230</v>
      </c>
      <c r="D517" s="35">
        <f>+D372-D355</f>
        <v>-0.10847634386304339</v>
      </c>
      <c r="E517" t="s">
        <v>112</v>
      </c>
    </row>
    <row r="518" spans="2:5" ht="15.6" x14ac:dyDescent="0.35">
      <c r="C518" s="36" t="s">
        <v>231</v>
      </c>
      <c r="D518" s="35">
        <f>+G372-G355</f>
        <v>-0.57019215851534977</v>
      </c>
      <c r="E518" t="s">
        <v>112</v>
      </c>
    </row>
    <row r="519" spans="2:5" x14ac:dyDescent="0.3">
      <c r="B519" t="s">
        <v>29</v>
      </c>
    </row>
    <row r="520" spans="2:5" ht="15.6" x14ac:dyDescent="0.35">
      <c r="C520" s="36" t="s">
        <v>230</v>
      </c>
      <c r="D520" s="35">
        <f>+D503-D475</f>
        <v>4.2210872226525531E-2</v>
      </c>
      <c r="E520" t="s">
        <v>112</v>
      </c>
    </row>
    <row r="521" spans="2:5" ht="15.6" x14ac:dyDescent="0.35">
      <c r="C521" s="36" t="s">
        <v>231</v>
      </c>
      <c r="D521" s="35">
        <f>+G503-G475</f>
        <v>-7.4837921639945293E-3</v>
      </c>
      <c r="E521" t="s">
        <v>112</v>
      </c>
    </row>
    <row r="523" spans="2:5" x14ac:dyDescent="0.3">
      <c r="B523" t="s">
        <v>232</v>
      </c>
    </row>
    <row r="527" spans="2:5" ht="15.6" x14ac:dyDescent="0.35">
      <c r="B527" t="s">
        <v>233</v>
      </c>
    </row>
    <row r="536" spans="2:2" x14ac:dyDescent="0.3">
      <c r="B536" t="s">
        <v>234</v>
      </c>
    </row>
    <row r="552" spans="2:4" x14ac:dyDescent="0.3">
      <c r="B552" t="s">
        <v>235</v>
      </c>
    </row>
    <row r="554" spans="2:4" x14ac:dyDescent="0.3">
      <c r="B554" s="21" t="s">
        <v>236</v>
      </c>
    </row>
    <row r="555" spans="2:4" x14ac:dyDescent="0.3">
      <c r="B555" t="s">
        <v>237</v>
      </c>
      <c r="C555" s="35">
        <f>+D518</f>
        <v>-0.57019215851534977</v>
      </c>
      <c r="D555" t="s">
        <v>112</v>
      </c>
    </row>
    <row r="556" spans="2:4" x14ac:dyDescent="0.3">
      <c r="B556" t="s">
        <v>238</v>
      </c>
      <c r="C556">
        <f>0.05*9</f>
        <v>0.45</v>
      </c>
      <c r="D556" t="s">
        <v>112</v>
      </c>
    </row>
    <row r="557" spans="2:4" x14ac:dyDescent="0.3">
      <c r="B557" t="s">
        <v>239</v>
      </c>
      <c r="C557" s="35">
        <f>+D517</f>
        <v>-0.10847634386304339</v>
      </c>
      <c r="D557" t="s">
        <v>112</v>
      </c>
    </row>
    <row r="558" spans="2:4" x14ac:dyDescent="0.3">
      <c r="B558" t="s">
        <v>240</v>
      </c>
      <c r="C558">
        <f>0.05*8</f>
        <v>0.4</v>
      </c>
      <c r="D558" t="s">
        <v>112</v>
      </c>
    </row>
    <row r="560" spans="2:4" x14ac:dyDescent="0.3">
      <c r="B560" t="s">
        <v>241</v>
      </c>
      <c r="C560">
        <f>$F$250*C555</f>
        <v>159.12456709461316</v>
      </c>
      <c r="D560" t="s">
        <v>242</v>
      </c>
    </row>
    <row r="561" spans="2:4" x14ac:dyDescent="0.3">
      <c r="B561" t="s">
        <v>243</v>
      </c>
      <c r="C561">
        <f t="shared" ref="C561:C563" si="47">$F$250*C556</f>
        <v>-125.58232189481832</v>
      </c>
      <c r="D561" t="s">
        <v>242</v>
      </c>
    </row>
    <row r="562" spans="2:4" x14ac:dyDescent="0.3">
      <c r="B562" t="s">
        <v>244</v>
      </c>
      <c r="C562">
        <f t="shared" si="47"/>
        <v>30.272691406626031</v>
      </c>
      <c r="D562" t="s">
        <v>242</v>
      </c>
    </row>
    <row r="563" spans="2:4" x14ac:dyDescent="0.3">
      <c r="B563" t="s">
        <v>245</v>
      </c>
      <c r="C563">
        <f t="shared" si="47"/>
        <v>-111.62873057317184</v>
      </c>
      <c r="D563" t="s">
        <v>242</v>
      </c>
    </row>
    <row r="565" spans="2:4" x14ac:dyDescent="0.3">
      <c r="B565" s="21" t="s">
        <v>246</v>
      </c>
    </row>
    <row r="566" spans="2:4" x14ac:dyDescent="0.3">
      <c r="B566" t="s">
        <v>237</v>
      </c>
      <c r="C566" s="35">
        <f>+D521</f>
        <v>-7.4837921639945293E-3</v>
      </c>
      <c r="D566" t="s">
        <v>112</v>
      </c>
    </row>
    <row r="567" spans="2:4" x14ac:dyDescent="0.3">
      <c r="B567" t="s">
        <v>238</v>
      </c>
      <c r="C567">
        <f>0.05*8</f>
        <v>0.4</v>
      </c>
      <c r="D567" t="s">
        <v>112</v>
      </c>
    </row>
    <row r="568" spans="2:4" x14ac:dyDescent="0.3">
      <c r="B568" t="s">
        <v>239</v>
      </c>
      <c r="C568" s="35">
        <f>+D520</f>
        <v>4.2210872226525531E-2</v>
      </c>
      <c r="D568" t="s">
        <v>112</v>
      </c>
    </row>
    <row r="569" spans="2:4" x14ac:dyDescent="0.3">
      <c r="B569" t="s">
        <v>240</v>
      </c>
      <c r="C569">
        <f>0.05*8</f>
        <v>0.4</v>
      </c>
      <c r="D569" t="s">
        <v>112</v>
      </c>
    </row>
    <row r="571" spans="2:4" x14ac:dyDescent="0.3">
      <c r="B571" t="s">
        <v>241</v>
      </c>
      <c r="C571">
        <f>$F$250*C566</f>
        <v>2.0885155478503998</v>
      </c>
      <c r="D571" t="s">
        <v>242</v>
      </c>
    </row>
    <row r="572" spans="2:4" x14ac:dyDescent="0.3">
      <c r="B572" t="s">
        <v>243</v>
      </c>
      <c r="C572">
        <f t="shared" ref="C572:C574" si="48">$F$250*C567</f>
        <v>-111.62873057317184</v>
      </c>
      <c r="D572" t="s">
        <v>242</v>
      </c>
    </row>
    <row r="573" spans="2:4" x14ac:dyDescent="0.3">
      <c r="B573" t="s">
        <v>244</v>
      </c>
      <c r="C573">
        <f t="shared" si="48"/>
        <v>-11.779865207583502</v>
      </c>
      <c r="D573" t="s">
        <v>242</v>
      </c>
    </row>
    <row r="574" spans="2:4" x14ac:dyDescent="0.3">
      <c r="B574" t="s">
        <v>245</v>
      </c>
      <c r="C574">
        <f t="shared" si="48"/>
        <v>-111.62873057317184</v>
      </c>
      <c r="D574" t="s">
        <v>242</v>
      </c>
    </row>
    <row r="576" spans="2:4" x14ac:dyDescent="0.3">
      <c r="B576" s="52" t="s">
        <v>247</v>
      </c>
    </row>
    <row r="578" spans="1:10" x14ac:dyDescent="0.3">
      <c r="A578" t="s">
        <v>248</v>
      </c>
    </row>
    <row r="579" spans="1:10" x14ac:dyDescent="0.3">
      <c r="A579" t="s">
        <v>161</v>
      </c>
      <c r="B579" t="s">
        <v>168</v>
      </c>
      <c r="C579" t="s">
        <v>249</v>
      </c>
      <c r="D579" t="s">
        <v>250</v>
      </c>
      <c r="E579" s="53" t="s">
        <v>251</v>
      </c>
      <c r="F579" t="s">
        <v>252</v>
      </c>
      <c r="G579" t="s">
        <v>253</v>
      </c>
      <c r="H579" t="s">
        <v>254</v>
      </c>
      <c r="I579" t="s">
        <v>255</v>
      </c>
      <c r="J579" t="s">
        <v>256</v>
      </c>
    </row>
    <row r="580" spans="1:10" x14ac:dyDescent="0.3">
      <c r="A580" t="s">
        <v>169</v>
      </c>
      <c r="B580" s="54">
        <f>+I317</f>
        <v>2.2332506203473945E-3</v>
      </c>
      <c r="C580">
        <f>+Tabla19[[#This Row],[Kx/E]]*$F$250/Tabla19[[#Totals],[Kx/E]]</f>
        <v>-15.414505944726635</v>
      </c>
      <c r="D580" s="35">
        <f>+E343</f>
        <v>4.5</v>
      </c>
      <c r="E580" s="35">
        <f>+D580-$G$355</f>
        <v>-8.2971641061604373E-3</v>
      </c>
      <c r="F580">
        <f>+B580*E580</f>
        <v>-1.8529646887206933E-5</v>
      </c>
      <c r="G580">
        <f>+B580*POWER(E580,2)</f>
        <v>1.5374352105236084E-7</v>
      </c>
      <c r="H580">
        <f>+Tabla19[[#This Row],[(Kx/E)Ypro]]*$B$593/$E$593</f>
        <v>-3.5181480675961743E-4</v>
      </c>
      <c r="I580">
        <f>+Tabla19[[#This Row],[(Kx/E)Ypro]]*$B$594/$E$593</f>
        <v>2.776549285666228E-4</v>
      </c>
      <c r="J580">
        <f>+Tabla19[[#This Row],[(Kx/E)(F1)/(∑Kx/E)]]</f>
        <v>-15.414505944726635</v>
      </c>
    </row>
    <row r="581" spans="1:10" x14ac:dyDescent="0.3">
      <c r="A581" t="s">
        <v>170</v>
      </c>
      <c r="B581" s="54">
        <f t="shared" ref="B581:B589" si="49">+I318</f>
        <v>2.1428571428571429E-2</v>
      </c>
      <c r="C581">
        <f>+Tabla19[[#This Row],[Kx/E]]*$F$250/Tabla19[[#Totals],[Kx/E]]</f>
        <v>-147.9058546601151</v>
      </c>
      <c r="D581" s="35">
        <f t="shared" ref="D581:D589" si="50">+E344</f>
        <v>5.0749999999999993</v>
      </c>
      <c r="E581" s="35">
        <f t="shared" ref="E581:E589" si="51">+D581-$G$355</f>
        <v>0.56670283589383885</v>
      </c>
      <c r="F581">
        <f t="shared" ref="F581:F589" si="52">+B581*E581</f>
        <v>1.2143632197725119E-2</v>
      </c>
      <c r="G581">
        <f t="shared" ref="G581:G589" si="53">+B581*POWER(E581,2)</f>
        <v>6.8818308045025551E-3</v>
      </c>
      <c r="H581">
        <f>+Tabla19[[#This Row],[(Kx/E)Ypro]]*$B$593/$E$593</f>
        <v>0.23056616464462579</v>
      </c>
      <c r="I581">
        <f>+Tabla19[[#This Row],[(Kx/E)Ypro]]*$B$594/$E$593</f>
        <v>-0.18196457552175985</v>
      </c>
      <c r="J581">
        <f>+Tabla19[[#This Row],[(Kx/E)(F1)/(∑Kx/E)]]</f>
        <v>-147.9058546601151</v>
      </c>
    </row>
    <row r="582" spans="1:10" x14ac:dyDescent="0.3">
      <c r="A582" t="s">
        <v>171</v>
      </c>
      <c r="B582" s="54">
        <f t="shared" si="49"/>
        <v>9.4058500914076769E-3</v>
      </c>
      <c r="C582">
        <f>+Tabla19[[#This Row],[Kx/E]]*$F$250/Tabla19[[#Totals],[Kx/E]]</f>
        <v>-64.921747173480128</v>
      </c>
      <c r="D582" s="35">
        <f t="shared" si="50"/>
        <v>5.0750000000000002</v>
      </c>
      <c r="E582" s="35">
        <f t="shared" si="51"/>
        <v>0.56670283589383974</v>
      </c>
      <c r="F582">
        <f t="shared" si="52"/>
        <v>5.3303219207930623E-3</v>
      </c>
      <c r="G582">
        <f t="shared" si="53"/>
        <v>3.0207085487405274E-3</v>
      </c>
      <c r="H582">
        <f>+Tabla19[[#This Row],[(Kx/E)Ypro]]*$B$593/$E$593</f>
        <v>0.10120463643724813</v>
      </c>
      <c r="I582">
        <f>+Tabla19[[#This Row],[(Kx/E)Ypro]]*$B$594/$E$593</f>
        <v>-7.987147090086763E-2</v>
      </c>
      <c r="J582">
        <f>+Tabla19[[#This Row],[(Kx/E)(F1)/(∑Kx/E)]]</f>
        <v>-64.921747173480128</v>
      </c>
    </row>
    <row r="583" spans="1:10" x14ac:dyDescent="0.3">
      <c r="A583" t="s">
        <v>172</v>
      </c>
      <c r="B583" s="54">
        <f t="shared" si="49"/>
        <v>4.9693251533742318E-4</v>
      </c>
      <c r="C583">
        <f>+Tabla19[[#This Row],[Kx/E]]*$F$250/Tabla19[[#Totals],[Kx/E]]</f>
        <v>-3.4299639915045086</v>
      </c>
      <c r="D583" s="35">
        <f t="shared" si="50"/>
        <v>5.0750000000000002</v>
      </c>
      <c r="E583" s="35">
        <f t="shared" si="51"/>
        <v>0.56670283589383974</v>
      </c>
      <c r="F583">
        <f t="shared" si="52"/>
        <v>2.8161306568957672E-4</v>
      </c>
      <c r="G583">
        <f t="shared" si="53"/>
        <v>1.5959092295104131E-4</v>
      </c>
      <c r="H583">
        <f>+Tabla19[[#This Row],[(Kx/E)Ypro]]*$B$593/$E$593</f>
        <v>5.3468717935993039E-3</v>
      </c>
      <c r="I583">
        <f>+Tabla19[[#This Row],[(Kx/E)Ypro]]*$B$594/$E$593</f>
        <v>-4.2197919967622887E-3</v>
      </c>
      <c r="J583">
        <f>+Tabla19[[#This Row],[(Kx/E)(F1)/(∑Kx/E)]]</f>
        <v>-3.4299639915045086</v>
      </c>
    </row>
    <row r="584" spans="1:10" x14ac:dyDescent="0.3">
      <c r="A584" t="s">
        <v>173</v>
      </c>
      <c r="B584" s="54">
        <f t="shared" si="49"/>
        <v>2.2332506203473945E-3</v>
      </c>
      <c r="C584">
        <f>+Tabla19[[#This Row],[Kx/E]]*$F$250/Tabla19[[#Totals],[Kx/E]]</f>
        <v>-15.414505944726635</v>
      </c>
      <c r="D584" s="35">
        <f t="shared" si="50"/>
        <v>4.5</v>
      </c>
      <c r="E584" s="35">
        <f t="shared" si="51"/>
        <v>-8.2971641061604373E-3</v>
      </c>
      <c r="F584">
        <f t="shared" si="52"/>
        <v>-1.8529646887206933E-5</v>
      </c>
      <c r="G584">
        <f t="shared" si="53"/>
        <v>1.5374352105236084E-7</v>
      </c>
      <c r="H584">
        <f>+Tabla19[[#This Row],[(Kx/E)Ypro]]*$B$593/$E$593</f>
        <v>-3.5181480675961743E-4</v>
      </c>
      <c r="I584">
        <f>+Tabla19[[#This Row],[(Kx/E)Ypro]]*$B$594/$E$593</f>
        <v>2.776549285666228E-4</v>
      </c>
      <c r="J584">
        <f>+Tabla19[[#This Row],[(Kx/E)(F1)/(∑Kx/E)]]</f>
        <v>-15.414505944726635</v>
      </c>
    </row>
    <row r="585" spans="1:10" x14ac:dyDescent="0.3">
      <c r="A585" t="s">
        <v>174</v>
      </c>
      <c r="B585" s="54">
        <f t="shared" si="49"/>
        <v>1.8566272669854728E-3</v>
      </c>
      <c r="C585">
        <f>+Tabla19[[#This Row],[Kx/E]]*$F$250/Tabla19[[#Totals],[Kx/E]]</f>
        <v>-12.814948659742134</v>
      </c>
      <c r="D585" s="35">
        <f t="shared" si="50"/>
        <v>7.4999999999999997E-2</v>
      </c>
      <c r="E585" s="35">
        <f t="shared" si="51"/>
        <v>-4.4332971641061603</v>
      </c>
      <c r="F585">
        <f t="shared" si="52"/>
        <v>-8.2309803975288681E-3</v>
      </c>
      <c r="G585">
        <f t="shared" si="53"/>
        <v>3.6490382054178122E-2</v>
      </c>
      <c r="H585">
        <f>+Tabla19[[#This Row],[(Kx/E)Ypro]]*$B$593/$E$593</f>
        <v>-0.1562782494251467</v>
      </c>
      <c r="I585">
        <f>+Tabla19[[#This Row],[(Kx/E)Ypro]]*$B$594/$E$593</f>
        <v>0.12333598628298717</v>
      </c>
      <c r="J585">
        <f>+Tabla19[[#This Row],[(Kx/E)(F1)/(∑Kx/E)]]</f>
        <v>-12.814948659742134</v>
      </c>
    </row>
    <row r="586" spans="1:10" x14ac:dyDescent="0.3">
      <c r="A586" t="s">
        <v>175</v>
      </c>
      <c r="B586" s="54">
        <f t="shared" si="49"/>
        <v>1.5946044476850166E-3</v>
      </c>
      <c r="C586">
        <f>+Tabla19[[#This Row],[Kx/E]]*$F$250/Tabla19[[#Totals],[Kx/E]]</f>
        <v>-11.00639557171808</v>
      </c>
      <c r="D586" s="35">
        <f t="shared" si="50"/>
        <v>7.4999999999999997E-2</v>
      </c>
      <c r="E586" s="35">
        <f t="shared" si="51"/>
        <v>-4.4332971641061603</v>
      </c>
      <c r="F586">
        <f t="shared" si="52"/>
        <v>-7.069355375793054E-3</v>
      </c>
      <c r="G586">
        <f t="shared" si="53"/>
        <v>3.134055313956198E-2</v>
      </c>
      <c r="H586">
        <f>+Tabla19[[#This Row],[(Kx/E)Ypro]]*$B$593/$E$593</f>
        <v>-0.1342229514997838</v>
      </c>
      <c r="I586">
        <f>+Tabla19[[#This Row],[(Kx/E)Ypro]]*$B$594/$E$593</f>
        <v>0.10592977695830015</v>
      </c>
      <c r="J586">
        <f>+Tabla19[[#This Row],[(Kx/E)(F1)/(∑Kx/E)]]</f>
        <v>-11.00639557171808</v>
      </c>
    </row>
    <row r="587" spans="1:10" x14ac:dyDescent="0.3">
      <c r="A587" t="s">
        <v>176</v>
      </c>
      <c r="B587" s="54">
        <f t="shared" si="49"/>
        <v>1.1578737408995709E-4</v>
      </c>
      <c r="C587">
        <f>+Tabla19[[#This Row],[Kx/E]]*$F$250/Tabla19[[#Totals],[Kx/E]]</f>
        <v>-0.79919609110252643</v>
      </c>
      <c r="D587" s="35">
        <f t="shared" si="50"/>
        <v>1.075</v>
      </c>
      <c r="E587" s="35">
        <f t="shared" si="51"/>
        <v>-3.4332971641061603</v>
      </c>
      <c r="F587">
        <f t="shared" si="52"/>
        <v>-3.9753246310234876E-4</v>
      </c>
      <c r="G587">
        <f t="shared" si="53"/>
        <v>1.3648470782094309E-3</v>
      </c>
      <c r="H587">
        <f>+Tabla19[[#This Row],[(Kx/E)Ypro]]*$B$593/$E$593</f>
        <v>-7.5477858557351637E-3</v>
      </c>
      <c r="I587">
        <f>+Tabla19[[#This Row],[(Kx/E)Ypro]]*$B$594/$E$593</f>
        <v>5.9567701595976772E-3</v>
      </c>
      <c r="J587">
        <f>+Tabla19[[#This Row],[(Kx/E)(F1)/(∑Kx/E)]]</f>
        <v>-0.79919609110252643</v>
      </c>
    </row>
    <row r="588" spans="1:10" x14ac:dyDescent="0.3">
      <c r="A588" t="s">
        <v>177</v>
      </c>
      <c r="B588" s="54">
        <f t="shared" si="49"/>
        <v>5.8312655086848635E-4</v>
      </c>
      <c r="C588">
        <f>+Tabla19[[#This Row],[Kx/E]]*$F$250/Tabla19[[#Totals],[Kx/E]]</f>
        <v>-4.0248987744563989</v>
      </c>
      <c r="D588" s="35">
        <f t="shared" si="50"/>
        <v>3.9749999999999996</v>
      </c>
      <c r="E588" s="35">
        <f t="shared" si="51"/>
        <v>-0.53329716410616079</v>
      </c>
      <c r="F588">
        <f t="shared" si="52"/>
        <v>-3.1097973589317069E-4</v>
      </c>
      <c r="G588">
        <f t="shared" si="53"/>
        <v>1.6584461124631079E-4</v>
      </c>
      <c r="H588">
        <f>+Tabla19[[#This Row],[(Kx/E)Ypro]]*$B$593/$E$593</f>
        <v>-5.9044447179912906E-3</v>
      </c>
      <c r="I588">
        <f>+Tabla19[[#This Row],[(Kx/E)Ypro]]*$B$594/$E$593</f>
        <v>4.6598328009531086E-3</v>
      </c>
      <c r="J588">
        <f>+Tabla19[[#This Row],[(Kx/E)(F1)/(∑Kx/E)]]</f>
        <v>-4.0248987744563989</v>
      </c>
    </row>
    <row r="589" spans="1:10" x14ac:dyDescent="0.3">
      <c r="A589" t="s">
        <v>178</v>
      </c>
      <c r="B589" s="54">
        <f t="shared" si="49"/>
        <v>4.8387096774193548E-4</v>
      </c>
      <c r="C589">
        <f>+Tabla19[[#This Row],[Kx/E]]*$F$250/Tabla19[[#Totals],[Kx/E]]</f>
        <v>-3.3398096213574373</v>
      </c>
      <c r="D589" s="35">
        <f t="shared" si="50"/>
        <v>0.97499999999999998</v>
      </c>
      <c r="E589" s="35">
        <f t="shared" si="51"/>
        <v>-3.5332971641061603</v>
      </c>
      <c r="F589">
        <f t="shared" si="52"/>
        <v>-1.709659918115884E-3</v>
      </c>
      <c r="G589">
        <f t="shared" si="53"/>
        <v>6.040736540264823E-3</v>
      </c>
      <c r="H589">
        <f>+Tabla19[[#This Row],[(Kx/E)Ypro]]*$B$593/$E$593</f>
        <v>-3.2460611763296683E-2</v>
      </c>
      <c r="I589">
        <f>+Tabla19[[#This Row],[(Kx/E)Ypro]]*$B$594/$E$593</f>
        <v>2.5618162360418147E-2</v>
      </c>
      <c r="J589">
        <f>+Tabla19[[#This Row],[(Kx/E)(F1)/(∑Kx/E)]]</f>
        <v>-3.3398096213574373</v>
      </c>
    </row>
    <row r="590" spans="1:10" x14ac:dyDescent="0.3">
      <c r="A590" t="s">
        <v>15</v>
      </c>
      <c r="B590" s="54">
        <f>SUBTOTAL(109,Tabla19[Kx/E])</f>
        <v>4.0431871883382188E-2</v>
      </c>
      <c r="G590">
        <f>SUBTOTAL(109,Tabla19[(K/E)*Ypro2])</f>
        <v>8.5464801186696901E-2</v>
      </c>
      <c r="J590">
        <f>SUBTOTAL(103,Tabla19[V(final)])</f>
        <v>10</v>
      </c>
    </row>
    <row r="592" spans="1:10" x14ac:dyDescent="0.3">
      <c r="A592" t="s">
        <v>257</v>
      </c>
      <c r="B592">
        <f>+$F$250</f>
        <v>-279.07182643292958</v>
      </c>
    </row>
    <row r="593" spans="1:10" x14ac:dyDescent="0.3">
      <c r="A593" t="s">
        <v>258</v>
      </c>
      <c r="B593">
        <f>+C560</f>
        <v>159.12456709461316</v>
      </c>
      <c r="E593" s="54">
        <f>Tabla19[[#Totals],[(K/E)*Ypro2]]+Tabla20[[#Totals],[(Ky/E)*X ̅ 2]]</f>
        <v>8.3808923976229046</v>
      </c>
    </row>
    <row r="594" spans="1:10" x14ac:dyDescent="0.3">
      <c r="A594" t="s">
        <v>259</v>
      </c>
      <c r="B594">
        <f>+C561</f>
        <v>-125.58232189481832</v>
      </c>
    </row>
    <row r="596" spans="1:10" x14ac:dyDescent="0.3">
      <c r="A596" t="s">
        <v>260</v>
      </c>
    </row>
    <row r="597" spans="1:10" x14ac:dyDescent="0.3">
      <c r="A597" t="s">
        <v>161</v>
      </c>
      <c r="B597" t="s">
        <v>180</v>
      </c>
      <c r="C597" t="s">
        <v>261</v>
      </c>
      <c r="D597" t="s">
        <v>262</v>
      </c>
      <c r="E597" s="53" t="s">
        <v>263</v>
      </c>
      <c r="F597" t="s">
        <v>264</v>
      </c>
      <c r="G597" t="s">
        <v>265</v>
      </c>
      <c r="H597" t="s">
        <v>266</v>
      </c>
      <c r="I597" t="s">
        <v>267</v>
      </c>
      <c r="J597" t="s">
        <v>256</v>
      </c>
    </row>
    <row r="598" spans="1:10" x14ac:dyDescent="0.3">
      <c r="A598" t="s">
        <v>169</v>
      </c>
      <c r="B598" s="54">
        <f t="shared" ref="B598:B607" si="54">+I329</f>
        <v>0.27201492537313432</v>
      </c>
      <c r="C598">
        <f>+Tabla20[[#This Row],[Ky/E]]*$B$610/Tabla20[[#Totals],[Ky/E]]</f>
        <v>-124.17667180777987</v>
      </c>
      <c r="D598" s="35">
        <f t="shared" ref="D598:D607" si="55">+F343</f>
        <v>0.125</v>
      </c>
      <c r="E598" s="35">
        <f t="shared" ref="E598:E607" si="56">+D598-$D$355</f>
        <v>-3.8366663733418633</v>
      </c>
      <c r="F598">
        <f>+B598*E598</f>
        <v>-1.0436305172262008</v>
      </c>
      <c r="G598">
        <f>+B598*POWER(E598,2)</f>
        <v>4.0040621116351405</v>
      </c>
      <c r="H598">
        <f>+Tabla20[[#This Row],[Ky/E]]*Tabla20[[#This Row],[X ̅=X-XCR]]*$B$611/$E$611</f>
        <v>0</v>
      </c>
      <c r="I598">
        <f>+Tabla20[[#This Row],[Ky/E]]*Tabla20[[#This Row],[X ̅=X-XCR]]*$B$612/$E$611</f>
        <v>0</v>
      </c>
      <c r="J598">
        <f>+Tabla20[[#This Row],[(Ky/E)(F1)/(∑Ky/E)]]</f>
        <v>-124.17667180777987</v>
      </c>
    </row>
    <row r="599" spans="1:10" x14ac:dyDescent="0.3">
      <c r="A599" t="s">
        <v>170</v>
      </c>
      <c r="B599" s="54">
        <f t="shared" si="54"/>
        <v>1.3463648149995012E-4</v>
      </c>
      <c r="C599">
        <f>+Tabla20[[#This Row],[Ky/E]]*$B$610/Tabla20[[#Totals],[Ky/E]]</f>
        <v>-6.1462473625812163E-2</v>
      </c>
      <c r="D599" s="35">
        <f t="shared" si="55"/>
        <v>1.5</v>
      </c>
      <c r="E599" s="35">
        <f t="shared" si="56"/>
        <v>-2.4616663733418633</v>
      </c>
      <c r="F599">
        <f t="shared" ref="F599:F607" si="57">+B599*E599</f>
        <v>-3.3143009913349109E-4</v>
      </c>
      <c r="G599">
        <f t="shared" ref="G599:G607" si="58">+B599*POWER(E599,2)</f>
        <v>8.1587033015027529E-4</v>
      </c>
      <c r="H599">
        <f>+Tabla20[[#This Row],[Ky/E]]*Tabla20[[#This Row],[X ̅=X-XCR]]*$B$611/$E$611</f>
        <v>0</v>
      </c>
      <c r="I599">
        <f>+Tabla20[[#This Row],[Ky/E]]*Tabla20[[#This Row],[X ̅=X-XCR]]*$B$612/$E$611</f>
        <v>0</v>
      </c>
      <c r="J599">
        <f>+Tabla20[[#This Row],[(Ky/E)(F1)/(∑Ky/E)]]</f>
        <v>-6.1462473625812163E-2</v>
      </c>
    </row>
    <row r="600" spans="1:10" x14ac:dyDescent="0.3">
      <c r="A600" t="s">
        <v>171</v>
      </c>
      <c r="B600" s="54">
        <f t="shared" si="54"/>
        <v>9.4245537049965076E-5</v>
      </c>
      <c r="C600">
        <f>+Tabla20[[#This Row],[Ky/E]]*$B$610/Tabla20[[#Totals],[Ky/E]]</f>
        <v>-4.3023731538068509E-2</v>
      </c>
      <c r="D600" s="35">
        <f t="shared" si="55"/>
        <v>5.375</v>
      </c>
      <c r="E600" s="35">
        <f t="shared" si="56"/>
        <v>1.4133336266581367</v>
      </c>
      <c r="F600">
        <f t="shared" si="57"/>
        <v>1.3320038667517093E-4</v>
      </c>
      <c r="G600">
        <f t="shared" si="58"/>
        <v>1.8825658557188548E-4</v>
      </c>
      <c r="H600">
        <f>+Tabla20[[#This Row],[Ky/E]]*Tabla20[[#This Row],[X ̅=X-XCR]]*$B$611/$E$611</f>
        <v>0</v>
      </c>
      <c r="I600">
        <f>+Tabla20[[#This Row],[Ky/E]]*Tabla20[[#This Row],[X ̅=X-XCR]]*$B$612/$E$611</f>
        <v>0</v>
      </c>
      <c r="J600">
        <f>+Tabla20[[#This Row],[(Ky/E)(F1)/(∑Ky/E)]]</f>
        <v>-4.3023731538068509E-2</v>
      </c>
    </row>
    <row r="601" spans="1:10" x14ac:dyDescent="0.3">
      <c r="A601" t="s">
        <v>172</v>
      </c>
      <c r="B601" s="54">
        <f t="shared" si="54"/>
        <v>3.2312755559988027E-5</v>
      </c>
      <c r="C601">
        <f>+Tabla20[[#This Row],[Ky/E]]*$B$610/Tabla20[[#Totals],[Ky/E]]</f>
        <v>-1.4750993670194917E-2</v>
      </c>
      <c r="D601" s="35">
        <f t="shared" si="55"/>
        <v>7.45</v>
      </c>
      <c r="E601" s="35">
        <f t="shared" si="56"/>
        <v>3.4883336266581368</v>
      </c>
      <c r="F601">
        <f t="shared" si="57"/>
        <v>1.1271767178989091E-4</v>
      </c>
      <c r="G601">
        <f t="shared" si="58"/>
        <v>3.9319684482329168E-4</v>
      </c>
      <c r="H601">
        <f>+Tabla20[[#This Row],[Ky/E]]*Tabla20[[#This Row],[X ̅=X-XCR]]*$B$611/$E$611</f>
        <v>0</v>
      </c>
      <c r="I601">
        <f>+Tabla20[[#This Row],[Ky/E]]*Tabla20[[#This Row],[X ̅=X-XCR]]*$B$612/$E$611</f>
        <v>0</v>
      </c>
      <c r="J601">
        <f>+Tabla20[[#This Row],[(Ky/E)(F1)/(∑Ky/E)]]</f>
        <v>-1.4750993670194917E-2</v>
      </c>
    </row>
    <row r="602" spans="1:10" x14ac:dyDescent="0.3">
      <c r="A602" t="s">
        <v>173</v>
      </c>
      <c r="B602" s="54">
        <f t="shared" si="54"/>
        <v>0.27201492537313432</v>
      </c>
      <c r="C602">
        <f>+Tabla20[[#This Row],[Ky/E]]*$B$610/Tabla20[[#Totals],[Ky/E]]</f>
        <v>-124.17667180777987</v>
      </c>
      <c r="D602" s="35">
        <f t="shared" si="55"/>
        <v>7.875</v>
      </c>
      <c r="E602" s="35">
        <f t="shared" si="56"/>
        <v>3.9133336266581367</v>
      </c>
      <c r="F602">
        <f t="shared" si="57"/>
        <v>1.0644851544155902</v>
      </c>
      <c r="G602">
        <f t="shared" si="58"/>
        <v>4.165685549852908</v>
      </c>
      <c r="H602">
        <f>+Tabla20[[#This Row],[Ky/E]]*Tabla20[[#This Row],[X ̅=X-XCR]]*$B$611/$E$611</f>
        <v>0</v>
      </c>
      <c r="I602">
        <f>+Tabla20[[#This Row],[Ky/E]]*Tabla20[[#This Row],[X ̅=X-XCR]]*$B$612/$E$611</f>
        <v>0</v>
      </c>
      <c r="J602">
        <f>+Tabla20[[#This Row],[(Ky/E)(F1)/(∑Ky/E)]]</f>
        <v>-124.17667180777987</v>
      </c>
    </row>
    <row r="603" spans="1:10" x14ac:dyDescent="0.3">
      <c r="A603" t="s">
        <v>174</v>
      </c>
      <c r="B603" s="54">
        <f t="shared" si="54"/>
        <v>5.1161862969981038E-5</v>
      </c>
      <c r="C603">
        <f>+Tabla20[[#This Row],[Ky/E]]*$B$610/Tabla20[[#Totals],[Ky/E]]</f>
        <v>-2.3355739977808616E-2</v>
      </c>
      <c r="D603" s="35">
        <f t="shared" si="55"/>
        <v>4.9750000000000005</v>
      </c>
      <c r="E603" s="35">
        <f t="shared" si="56"/>
        <v>1.0133336266581372</v>
      </c>
      <c r="F603">
        <f t="shared" si="57"/>
        <v>5.1844036149957539E-5</v>
      </c>
      <c r="G603">
        <f t="shared" si="58"/>
        <v>5.2535305172432041E-5</v>
      </c>
      <c r="H603">
        <f>+Tabla20[[#This Row],[Ky/E]]*Tabla20[[#This Row],[X ̅=X-XCR]]*$B$611/$E$611</f>
        <v>0</v>
      </c>
      <c r="I603">
        <f>+Tabla20[[#This Row],[Ky/E]]*Tabla20[[#This Row],[X ̅=X-XCR]]*$B$612/$E$611</f>
        <v>0</v>
      </c>
      <c r="J603">
        <f>+Tabla20[[#This Row],[(Ky/E)(F1)/(∑Ky/E)]]</f>
        <v>-2.3355739977808616E-2</v>
      </c>
    </row>
    <row r="604" spans="1:10" x14ac:dyDescent="0.3">
      <c r="A604" t="s">
        <v>175</v>
      </c>
      <c r="B604" s="54">
        <f t="shared" si="54"/>
        <v>4.846913333998204E-5</v>
      </c>
      <c r="C604">
        <f>+Tabla20[[#This Row],[Ky/E]]*$B$610/Tabla20[[#Totals],[Ky/E]]</f>
        <v>-2.2126490505292376E-2</v>
      </c>
      <c r="D604" s="35">
        <f t="shared" si="55"/>
        <v>0.7</v>
      </c>
      <c r="E604" s="35">
        <f t="shared" si="56"/>
        <v>-3.2616663733418632</v>
      </c>
      <c r="F604">
        <f t="shared" si="57"/>
        <v>-1.580901423600424E-4</v>
      </c>
      <c r="G604">
        <f t="shared" si="58"/>
        <v>5.1563730129257845E-4</v>
      </c>
      <c r="H604">
        <f>+Tabla20[[#This Row],[Ky/E]]*Tabla20[[#This Row],[X ̅=X-XCR]]*$B$611/$E$611</f>
        <v>0</v>
      </c>
      <c r="I604">
        <f>+Tabla20[[#This Row],[Ky/E]]*Tabla20[[#This Row],[X ̅=X-XCR]]*$B$612/$E$611</f>
        <v>0</v>
      </c>
      <c r="J604">
        <f>+Tabla20[[#This Row],[(Ky/E)(F1)/(∑Ky/E)]]</f>
        <v>-2.2126490505292376E-2</v>
      </c>
    </row>
    <row r="605" spans="1:10" x14ac:dyDescent="0.3">
      <c r="A605" t="s">
        <v>176</v>
      </c>
      <c r="B605" s="54">
        <f t="shared" si="54"/>
        <v>1.5341930919148388E-2</v>
      </c>
      <c r="C605">
        <f>+Tabla20[[#This Row],[Ky/E]]*$B$610/Tabla20[[#Totals],[Ky/E]]</f>
        <v>-7.0036962789133739</v>
      </c>
      <c r="D605" s="35">
        <f t="shared" si="55"/>
        <v>1.2250000000000001</v>
      </c>
      <c r="E605" s="35">
        <f t="shared" si="56"/>
        <v>-2.7366663733418632</v>
      </c>
      <c r="F605">
        <f t="shared" si="57"/>
        <v>-4.1985746448567215E-2</v>
      </c>
      <c r="G605">
        <f t="shared" si="58"/>
        <v>0.11490098046545145</v>
      </c>
      <c r="H605">
        <f>+Tabla20[[#This Row],[Ky/E]]*Tabla20[[#This Row],[X ̅=X-XCR]]*$B$611/$E$611</f>
        <v>0</v>
      </c>
      <c r="I605">
        <f>+Tabla20[[#This Row],[Ky/E]]*Tabla20[[#This Row],[X ̅=X-XCR]]*$B$612/$E$611</f>
        <v>0</v>
      </c>
      <c r="J605">
        <f>+Tabla20[[#This Row],[(Ky/E)(F1)/(∑Ky/E)]]</f>
        <v>-7.0036962789133739</v>
      </c>
    </row>
    <row r="606" spans="1:10" x14ac:dyDescent="0.3">
      <c r="A606" t="s">
        <v>177</v>
      </c>
      <c r="B606" s="54">
        <f t="shared" si="54"/>
        <v>3.1221206471401936E-2</v>
      </c>
      <c r="C606">
        <f>+Tabla20[[#This Row],[Ky/E]]*$B$610/Tabla20[[#Totals],[Ky/E]]</f>
        <v>-14.252694053916496</v>
      </c>
      <c r="D606" s="35">
        <f t="shared" si="55"/>
        <v>4.375</v>
      </c>
      <c r="E606" s="35">
        <f t="shared" si="56"/>
        <v>0.41333362665813667</v>
      </c>
      <c r="F606">
        <f t="shared" si="57"/>
        <v>1.2904774499467048E-2</v>
      </c>
      <c r="G606">
        <f t="shared" si="58"/>
        <v>5.3339772450701553E-3</v>
      </c>
      <c r="H606">
        <f>+Tabla20[[#This Row],[Ky/E]]*Tabla20[[#This Row],[X ̅=X-XCR]]*$B$611/$E$611</f>
        <v>0</v>
      </c>
      <c r="I606">
        <f>+Tabla20[[#This Row],[Ky/E]]*Tabla20[[#This Row],[X ̅=X-XCR]]*$B$612/$E$611</f>
        <v>0</v>
      </c>
      <c r="J606">
        <f>+Tabla20[[#This Row],[(Ky/E)(F1)/(∑Ky/E)]]</f>
        <v>-14.252694053916496</v>
      </c>
    </row>
    <row r="607" spans="1:10" x14ac:dyDescent="0.3">
      <c r="A607" t="s">
        <v>178</v>
      </c>
      <c r="B607" s="54">
        <f t="shared" si="54"/>
        <v>2.0366339353155252E-2</v>
      </c>
      <c r="C607">
        <f>+Tabla20[[#This Row],[Ky/E]]*$B$610/Tabla20[[#Totals],[Ky/E]]</f>
        <v>-9.2973730552228435</v>
      </c>
      <c r="D607" s="35">
        <f t="shared" si="55"/>
        <v>4.375</v>
      </c>
      <c r="E607" s="35">
        <f t="shared" si="56"/>
        <v>0.41333362665813667</v>
      </c>
      <c r="F607">
        <f t="shared" si="57"/>
        <v>8.4180929065899891E-3</v>
      </c>
      <c r="G607">
        <f t="shared" si="58"/>
        <v>3.479480870625975E-3</v>
      </c>
      <c r="H607">
        <f>+Tabla20[[#This Row],[Ky/E]]*Tabla20[[#This Row],[X ̅=X-XCR]]*$B$611/$E$611</f>
        <v>0</v>
      </c>
      <c r="I607">
        <f>+Tabla20[[#This Row],[Ky/E]]*Tabla20[[#This Row],[X ̅=X-XCR]]*$B$612/$E$611</f>
        <v>0</v>
      </c>
      <c r="J607">
        <f>+Tabla20[[#This Row],[(Ky/E)(F1)/(∑Ky/E)]]</f>
        <v>-9.2973730552228435</v>
      </c>
    </row>
    <row r="608" spans="1:10" x14ac:dyDescent="0.3">
      <c r="A608" t="s">
        <v>15</v>
      </c>
      <c r="B608" s="54">
        <f>SUBTOTAL(109,Tabla20[Ky/E])</f>
        <v>0.61132015326039402</v>
      </c>
      <c r="G608">
        <f>SUBTOTAL(109,Tabla20[(Ky/E)*X ̅ 2])</f>
        <v>8.2954275964362072</v>
      </c>
      <c r="J608">
        <f>SUBTOTAL(103,Tabla20[V(final)])</f>
        <v>10</v>
      </c>
    </row>
    <row r="610" spans="1:10" x14ac:dyDescent="0.3">
      <c r="A610" t="s">
        <v>257</v>
      </c>
      <c r="B610">
        <f>+$F$250</f>
        <v>-279.07182643292958</v>
      </c>
    </row>
    <row r="611" spans="1:10" x14ac:dyDescent="0.3">
      <c r="A611" t="s">
        <v>268</v>
      </c>
      <c r="B611">
        <f>+C577</f>
        <v>0</v>
      </c>
      <c r="E611" s="54">
        <f>Tabla19[[#Totals],[(K/E)*Ypro2]]+Tabla20[[#Totals],[(Ky/E)*X ̅ 2]]</f>
        <v>8.3808923976229046</v>
      </c>
    </row>
    <row r="612" spans="1:10" x14ac:dyDescent="0.3">
      <c r="A612" t="s">
        <v>269</v>
      </c>
      <c r="B612">
        <f>+C578</f>
        <v>0</v>
      </c>
    </row>
    <row r="614" spans="1:10" x14ac:dyDescent="0.3">
      <c r="B614" s="52" t="s">
        <v>270</v>
      </c>
    </row>
    <row r="616" spans="1:10" x14ac:dyDescent="0.3">
      <c r="A616" t="s">
        <v>248</v>
      </c>
    </row>
    <row r="617" spans="1:10" x14ac:dyDescent="0.3">
      <c r="A617" t="s">
        <v>161</v>
      </c>
      <c r="B617" t="s">
        <v>168</v>
      </c>
      <c r="C617" t="s">
        <v>249</v>
      </c>
      <c r="D617" t="s">
        <v>250</v>
      </c>
      <c r="E617" s="53" t="s">
        <v>251</v>
      </c>
      <c r="F617" t="s">
        <v>252</v>
      </c>
      <c r="G617" t="s">
        <v>253</v>
      </c>
      <c r="H617" t="s">
        <v>254</v>
      </c>
      <c r="I617" t="s">
        <v>255</v>
      </c>
      <c r="J617" t="s">
        <v>256</v>
      </c>
    </row>
    <row r="618" spans="1:10" x14ac:dyDescent="0.3">
      <c r="A618" t="s">
        <v>169</v>
      </c>
      <c r="B618" s="54">
        <f t="shared" ref="B618:B638" si="59">+I404</f>
        <v>2.4813895781637717E-3</v>
      </c>
      <c r="C618">
        <f>+Tabla21[[#This Row],[Kx/E]]*$B$641/Tabla21[[#Totals],[Kx/E]]</f>
        <v>-6.5093005565887374</v>
      </c>
      <c r="D618" s="35">
        <f t="shared" ref="D618:D638" si="60">+E452</f>
        <v>5</v>
      </c>
      <c r="E618" s="35">
        <f>+D618-$G$355</f>
        <v>0.49170283589383956</v>
      </c>
      <c r="F618">
        <f>+B618*E618</f>
        <v>1.2201062925405448E-3</v>
      </c>
      <c r="G618">
        <f>+B618*POWER(E618,2)</f>
        <v>5.9992972413410448E-4</v>
      </c>
      <c r="H618">
        <f>+Tabla21[[#This Row],[Kx/E]]*Tabla21[[#This Row],[y ̅=y-yCR]]*$B$642/$D$642</f>
        <v>0</v>
      </c>
      <c r="I618">
        <f>+Tabla21[[#This Row],[Kx/E]]*Tabla21[[#This Row],[y ̅=y-yCR]]*$B$643/$D$642</f>
        <v>0</v>
      </c>
      <c r="J618" t="e">
        <f>+Tabla19[[#This Row],[(Kx/E)(F1)/(∑Kx/E)]]</f>
        <v>#VALUE!</v>
      </c>
    </row>
    <row r="619" spans="1:10" x14ac:dyDescent="0.3">
      <c r="A619" t="s">
        <v>170</v>
      </c>
      <c r="B619" s="54">
        <f t="shared" si="59"/>
        <v>1.5946044476850166E-3</v>
      </c>
      <c r="C619">
        <f>+Tabla21[[#This Row],[Kx/E]]*$B$641/Tabla21[[#Totals],[Kx/E]]</f>
        <v>-4.1830431263985464</v>
      </c>
      <c r="D619" s="35">
        <f t="shared" si="60"/>
        <v>9.9250000000000007</v>
      </c>
      <c r="E619" s="35">
        <f t="shared" ref="E619:E627" si="61">+D619-$G$355</f>
        <v>5.4167028358938403</v>
      </c>
      <c r="F619">
        <f t="shared" ref="F619:F627" si="62">+B619*E619</f>
        <v>8.6374984339043608E-3</v>
      </c>
      <c r="G619">
        <f t="shared" ref="G619:G627" si="63">+B619*POWER(E619,2)</f>
        <v>4.6786762261958346E-2</v>
      </c>
      <c r="H619">
        <f>+Tabla21[[#This Row],[Kx/E]]*Tabla21[[#This Row],[y ̅=y-yCR]]*$B$642/$D$642</f>
        <v>0</v>
      </c>
      <c r="I619">
        <f>+Tabla21[[#This Row],[Kx/E]]*Tabla21[[#This Row],[y ̅=y-yCR]]*$B$643/$D$642</f>
        <v>0</v>
      </c>
      <c r="J619" t="e">
        <f>+Tabla19[[#This Row],[(Kx/E)(F1)/(∑Kx/E)]]</f>
        <v>#VALUE!</v>
      </c>
    </row>
    <row r="620" spans="1:10" x14ac:dyDescent="0.3">
      <c r="A620" t="s">
        <v>171</v>
      </c>
      <c r="B620" s="54">
        <f t="shared" si="59"/>
        <v>2.7893817673768783E-3</v>
      </c>
      <c r="C620">
        <f>+Tabla21[[#This Row],[Kx/E]]*$B$641/Tabla21[[#Totals],[Kx/E]]</f>
        <v>-7.317240489242689</v>
      </c>
      <c r="D620" s="35">
        <f t="shared" si="60"/>
        <v>9.9250000000000007</v>
      </c>
      <c r="E620" s="35">
        <f t="shared" si="61"/>
        <v>5.4167028358938403</v>
      </c>
      <c r="F620">
        <f t="shared" si="62"/>
        <v>1.5109252129740909E-2</v>
      </c>
      <c r="G620">
        <f t="shared" si="63"/>
        <v>8.1842328859402624E-2</v>
      </c>
      <c r="H620">
        <f>+Tabla21[[#This Row],[Kx/E]]*Tabla21[[#This Row],[y ̅=y-yCR]]*$B$642/$D$642</f>
        <v>0</v>
      </c>
      <c r="I620">
        <f>+Tabla21[[#This Row],[Kx/E]]*Tabla21[[#This Row],[y ̅=y-yCR]]*$B$643/$D$642</f>
        <v>0</v>
      </c>
      <c r="J620" t="e">
        <f>+Tabla19[[#This Row],[(Kx/E)(F1)/(∑Kx/E)]]</f>
        <v>#VALUE!</v>
      </c>
    </row>
    <row r="621" spans="1:10" x14ac:dyDescent="0.3">
      <c r="A621" t="s">
        <v>172</v>
      </c>
      <c r="B621" s="54">
        <f t="shared" si="59"/>
        <v>3.9473684210526317E-3</v>
      </c>
      <c r="C621">
        <f>+Tabla21[[#This Row],[Kx/E]]*$B$641/Tabla21[[#Totals],[Kx/E]]</f>
        <v>-10.354926806468136</v>
      </c>
      <c r="D621" s="35">
        <f t="shared" si="60"/>
        <v>9.9250000000000007</v>
      </c>
      <c r="E621" s="35">
        <f t="shared" si="61"/>
        <v>5.4167028358938403</v>
      </c>
      <c r="F621">
        <f t="shared" si="62"/>
        <v>2.138172172063358E-2</v>
      </c>
      <c r="G621">
        <f t="shared" si="63"/>
        <v>0.11581843268044884</v>
      </c>
      <c r="H621">
        <f>+Tabla21[[#This Row],[Kx/E]]*Tabla21[[#This Row],[y ̅=y-yCR]]*$B$642/$D$642</f>
        <v>0</v>
      </c>
      <c r="I621">
        <f>+Tabla21[[#This Row],[Kx/E]]*Tabla21[[#This Row],[y ̅=y-yCR]]*$B$643/$D$642</f>
        <v>0</v>
      </c>
      <c r="J621" t="e">
        <f>+Tabla19[[#This Row],[(Kx/E)(F1)/(∑Kx/E)]]</f>
        <v>#VALUE!</v>
      </c>
    </row>
    <row r="622" spans="1:10" x14ac:dyDescent="0.3">
      <c r="A622" t="s">
        <v>173</v>
      </c>
      <c r="B622" s="54">
        <f t="shared" si="59"/>
        <v>2.4813895781637717E-3</v>
      </c>
      <c r="C622">
        <f>+Tabla21[[#This Row],[Kx/E]]*$B$641/Tabla21[[#Totals],[Kx/E]]</f>
        <v>-6.5093005565887374</v>
      </c>
      <c r="D622" s="35">
        <f t="shared" si="60"/>
        <v>5</v>
      </c>
      <c r="E622" s="35">
        <f t="shared" si="61"/>
        <v>0.49170283589383956</v>
      </c>
      <c r="F622">
        <f t="shared" si="62"/>
        <v>1.2201062925405448E-3</v>
      </c>
      <c r="G622">
        <f t="shared" si="63"/>
        <v>5.9992972413410448E-4</v>
      </c>
      <c r="H622">
        <f>+Tabla21[[#This Row],[Kx/E]]*Tabla21[[#This Row],[y ̅=y-yCR]]*$B$642/$D$642</f>
        <v>0</v>
      </c>
      <c r="I622">
        <f>+Tabla21[[#This Row],[Kx/E]]*Tabla21[[#This Row],[y ̅=y-yCR]]*$B$643/$D$642</f>
        <v>0</v>
      </c>
      <c r="J622" t="e">
        <f>+Tabla19[[#This Row],[(Kx/E)(F1)/(∑Kx/E)]]</f>
        <v>#VALUE!</v>
      </c>
    </row>
    <row r="623" spans="1:10" x14ac:dyDescent="0.3">
      <c r="A623" t="s">
        <v>174</v>
      </c>
      <c r="B623" s="54">
        <f t="shared" si="59"/>
        <v>3.9473684210526317E-3</v>
      </c>
      <c r="C623">
        <f>+Tabla21[[#This Row],[Kx/E]]*$B$641/Tabla21[[#Totals],[Kx/E]]</f>
        <v>-10.354926806468136</v>
      </c>
      <c r="D623" s="35">
        <f t="shared" si="60"/>
        <v>7.4999999999999997E-2</v>
      </c>
      <c r="E623" s="35">
        <f t="shared" si="61"/>
        <v>-4.4332971641061603</v>
      </c>
      <c r="F623">
        <f t="shared" si="62"/>
        <v>-1.7499857226734843E-2</v>
      </c>
      <c r="G623">
        <f t="shared" si="63"/>
        <v>7.7582067415546269E-2</v>
      </c>
      <c r="H623">
        <f>+Tabla21[[#This Row],[Kx/E]]*Tabla21[[#This Row],[y ̅=y-yCR]]*$B$642/$D$642</f>
        <v>0</v>
      </c>
      <c r="I623">
        <f>+Tabla21[[#This Row],[Kx/E]]*Tabla21[[#This Row],[y ̅=y-yCR]]*$B$643/$D$642</f>
        <v>0</v>
      </c>
      <c r="J623" t="e">
        <f>+Tabla19[[#This Row],[(Kx/E)(F1)/(∑Kx/E)]]</f>
        <v>#VALUE!</v>
      </c>
    </row>
    <row r="624" spans="1:10" x14ac:dyDescent="0.3">
      <c r="A624" t="s">
        <v>175</v>
      </c>
      <c r="B624" s="54">
        <f t="shared" si="59"/>
        <v>2.7893817673768783E-3</v>
      </c>
      <c r="C624">
        <f>+Tabla21[[#This Row],[Kx/E]]*$B$641/Tabla21[[#Totals],[Kx/E]]</f>
        <v>-7.317240489242689</v>
      </c>
      <c r="D624" s="35">
        <f t="shared" si="60"/>
        <v>7.4999999999999997E-2</v>
      </c>
      <c r="E624" s="35">
        <f t="shared" si="61"/>
        <v>-4.4332971641061603</v>
      </c>
      <c r="F624">
        <f t="shared" si="62"/>
        <v>-1.2366158278921343E-2</v>
      </c>
      <c r="G624">
        <f t="shared" si="63"/>
        <v>5.4822854428829906E-2</v>
      </c>
      <c r="H624">
        <f>+Tabla21[[#This Row],[Kx/E]]*Tabla21[[#This Row],[y ̅=y-yCR]]*$B$642/$D$642</f>
        <v>0</v>
      </c>
      <c r="I624">
        <f>+Tabla21[[#This Row],[Kx/E]]*Tabla21[[#This Row],[y ̅=y-yCR]]*$B$643/$D$642</f>
        <v>0</v>
      </c>
      <c r="J624" t="e">
        <f>+Tabla19[[#This Row],[(Kx/E)(F1)/(∑Kx/E)]]</f>
        <v>#VALUE!</v>
      </c>
    </row>
    <row r="625" spans="1:10" x14ac:dyDescent="0.3">
      <c r="A625" t="s">
        <v>176</v>
      </c>
      <c r="B625" s="54">
        <f t="shared" si="59"/>
        <v>1.5946044476850166E-3</v>
      </c>
      <c r="C625">
        <f>+Tabla21[[#This Row],[Kx/E]]*$B$641/Tabla21[[#Totals],[Kx/E]]</f>
        <v>-4.1830431263985464</v>
      </c>
      <c r="D625" s="35">
        <f t="shared" si="60"/>
        <v>7.4999999999999997E-2</v>
      </c>
      <c r="E625" s="35">
        <f t="shared" si="61"/>
        <v>-4.4332971641061603</v>
      </c>
      <c r="F625">
        <f t="shared" si="62"/>
        <v>-7.069355375793054E-3</v>
      </c>
      <c r="G625">
        <f t="shared" si="63"/>
        <v>3.134055313956198E-2</v>
      </c>
      <c r="H625">
        <f>+Tabla21[[#This Row],[Kx/E]]*Tabla21[[#This Row],[y ̅=y-yCR]]*$B$642/$D$642</f>
        <v>0</v>
      </c>
      <c r="I625">
        <f>+Tabla21[[#This Row],[Kx/E]]*Tabla21[[#This Row],[y ̅=y-yCR]]*$B$643/$D$642</f>
        <v>0</v>
      </c>
      <c r="J625" t="e">
        <f>+Tabla19[[#This Row],[(Kx/E)(F1)/(∑Kx/E)]]</f>
        <v>#VALUE!</v>
      </c>
    </row>
    <row r="626" spans="1:10" x14ac:dyDescent="0.3">
      <c r="A626" t="s">
        <v>177</v>
      </c>
      <c r="B626" s="54">
        <f t="shared" si="59"/>
        <v>2.1428571428571429E-2</v>
      </c>
      <c r="C626">
        <f>+Tabla21[[#This Row],[Kx/E]]*$B$641/Tabla21[[#Totals],[Kx/E]]</f>
        <v>-56.212459806541304</v>
      </c>
      <c r="D626" s="35">
        <f t="shared" si="60"/>
        <v>3.9249999999999998</v>
      </c>
      <c r="E626" s="35">
        <f t="shared" si="61"/>
        <v>-0.58329716410616061</v>
      </c>
      <c r="F626">
        <f t="shared" si="62"/>
        <v>-1.2499224945132014E-2</v>
      </c>
      <c r="G626">
        <f t="shared" si="63"/>
        <v>7.2907624640204836E-3</v>
      </c>
      <c r="H626">
        <f>+Tabla21[[#This Row],[Kx/E]]*Tabla21[[#This Row],[y ̅=y-yCR]]*$B$642/$D$642</f>
        <v>0</v>
      </c>
      <c r="I626">
        <f>+Tabla21[[#This Row],[Kx/E]]*Tabla21[[#This Row],[y ̅=y-yCR]]*$B$643/$D$642</f>
        <v>0</v>
      </c>
      <c r="J626" t="e">
        <f>+Tabla19[[#This Row],[(Kx/E)(F1)/(∑Kx/E)]]</f>
        <v>#VALUE!</v>
      </c>
    </row>
    <row r="627" spans="1:10" x14ac:dyDescent="0.3">
      <c r="A627" t="s">
        <v>178</v>
      </c>
      <c r="B627" s="54">
        <f t="shared" si="59"/>
        <v>2.1428571428571429E-2</v>
      </c>
      <c r="C627">
        <f>+Tabla21[[#This Row],[Kx/E]]*$B$641/Tabla21[[#Totals],[Kx/E]]</f>
        <v>-56.212459806541304</v>
      </c>
      <c r="D627" s="35">
        <f t="shared" si="60"/>
        <v>6.0750000000000002</v>
      </c>
      <c r="E627" s="35">
        <f t="shared" si="61"/>
        <v>1.5667028358938397</v>
      </c>
      <c r="F627">
        <f t="shared" si="62"/>
        <v>3.3572203626296565E-2</v>
      </c>
      <c r="G627">
        <f t="shared" si="63"/>
        <v>5.2597666628524282E-2</v>
      </c>
      <c r="H627">
        <f>+Tabla21[[#This Row],[Kx/E]]*Tabla21[[#This Row],[y ̅=y-yCR]]*$B$642/$D$642</f>
        <v>0</v>
      </c>
      <c r="I627">
        <f>+Tabla21[[#This Row],[Kx/E]]*Tabla21[[#This Row],[y ̅=y-yCR]]*$B$643/$D$642</f>
        <v>0</v>
      </c>
      <c r="J627" t="e">
        <f>+Tabla19[[#This Row],[(Kx/E)(F1)/(∑Kx/E)]]</f>
        <v>#VALUE!</v>
      </c>
    </row>
    <row r="628" spans="1:10" x14ac:dyDescent="0.3">
      <c r="A628" t="s">
        <v>204</v>
      </c>
      <c r="B628" s="54">
        <f t="shared" si="59"/>
        <v>5.1488833746898268E-4</v>
      </c>
      <c r="C628">
        <f>+Tabla21[[#This Row],[Kx/E]]*$B$641/Tabla21[[#Totals],[Kx/E]]</f>
        <v>-1.3506798654921632</v>
      </c>
      <c r="D628" s="35">
        <f t="shared" si="60"/>
        <v>8.9625000000000004</v>
      </c>
      <c r="E628" s="35">
        <f>+D628-$G$355</f>
        <v>4.4542028358938399</v>
      </c>
      <c r="F628">
        <f>+B628*E628</f>
        <v>2.2934170929230072E-3</v>
      </c>
      <c r="G628">
        <f>+B628*POWER(E628,2)</f>
        <v>1.0215344919185064E-2</v>
      </c>
      <c r="H628">
        <f>+Tabla21[[#This Row],[Kx/E]]*Tabla21[[#This Row],[y ̅=y-yCR]]*$B$642/$D$642</f>
        <v>0</v>
      </c>
      <c r="I628">
        <f>+Tabla21[[#This Row],[Kx/E]]*Tabla21[[#This Row],[y ̅=y-yCR]]*$B$643/$D$642</f>
        <v>0</v>
      </c>
      <c r="J628" t="e">
        <f>+Tabla19[[#This Row],[(Kx/E)(F1)/(∑Kx/E)]]</f>
        <v>#VALUE!</v>
      </c>
    </row>
    <row r="629" spans="1:10" x14ac:dyDescent="0.3">
      <c r="A629" t="s">
        <v>205</v>
      </c>
      <c r="B629" s="54">
        <f t="shared" si="59"/>
        <v>1.8732723882841161E-2</v>
      </c>
      <c r="C629">
        <f>+Tabla21[[#This Row],[Kx/E]]*$B$641/Tabla21[[#Totals],[Kx/E]]</f>
        <v>-49.140582788791441</v>
      </c>
      <c r="D629" s="35">
        <f t="shared" si="60"/>
        <v>6.0750000000000002</v>
      </c>
      <c r="E629" s="35">
        <f t="shared" ref="E629:E638" si="64">+D629-$G$355</f>
        <v>1.5667028358938397</v>
      </c>
      <c r="F629">
        <f t="shared" ref="F629:F638" si="65">+B629*E629</f>
        <v>2.9348611631263507E-2</v>
      </c>
      <c r="G629">
        <f t="shared" ref="G629:G638" si="66">+B629*POWER(E629,2)</f>
        <v>4.5980553072247465E-2</v>
      </c>
      <c r="H629">
        <f>+Tabla21[[#This Row],[Kx/E]]*Tabla21[[#This Row],[y ̅=y-yCR]]*$B$642/$D$642</f>
        <v>0</v>
      </c>
      <c r="I629">
        <f>+Tabla21[[#This Row],[Kx/E]]*Tabla21[[#This Row],[y ̅=y-yCR]]*$B$643/$D$642</f>
        <v>0</v>
      </c>
      <c r="J629" t="e">
        <f>+Tabla19[[#This Row],[(Kx/E)(F1)/(∑Kx/E)]]</f>
        <v>#VALUE!</v>
      </c>
    </row>
    <row r="630" spans="1:10" x14ac:dyDescent="0.3">
      <c r="A630" t="s">
        <v>206</v>
      </c>
      <c r="B630" s="54">
        <f t="shared" si="59"/>
        <v>1.8732723882841161E-2</v>
      </c>
      <c r="C630">
        <f>+Tabla21[[#This Row],[Kx/E]]*$B$641/Tabla21[[#Totals],[Kx/E]]</f>
        <v>-49.140582788791441</v>
      </c>
      <c r="D630" s="35">
        <f t="shared" si="60"/>
        <v>3.9249999999999998</v>
      </c>
      <c r="E630" s="35">
        <f t="shared" si="64"/>
        <v>-0.58329716410616061</v>
      </c>
      <c r="F630">
        <f t="shared" si="65"/>
        <v>-1.0926744716844995E-2</v>
      </c>
      <c r="G630">
        <f t="shared" si="66"/>
        <v>6.373539206247658E-3</v>
      </c>
      <c r="H630">
        <f>+Tabla21[[#This Row],[Kx/E]]*Tabla21[[#This Row],[y ̅=y-yCR]]*$B$642/$D$642</f>
        <v>0</v>
      </c>
      <c r="I630">
        <f>+Tabla21[[#This Row],[Kx/E]]*Tabla21[[#This Row],[y ̅=y-yCR]]*$B$643/$D$642</f>
        <v>0</v>
      </c>
      <c r="J630" t="e">
        <f>+Tabla19[[#This Row],[(Kx/E)(F1)/(∑Kx/E)]]</f>
        <v>#VALUE!</v>
      </c>
    </row>
    <row r="631" spans="1:10" x14ac:dyDescent="0.3">
      <c r="A631" t="s">
        <v>207</v>
      </c>
      <c r="B631" s="54">
        <f t="shared" si="59"/>
        <v>5.1488833746898268E-4</v>
      </c>
      <c r="C631">
        <f>+Tabla21[[#This Row],[Kx/E]]*$B$641/Tabla21[[#Totals],[Kx/E]]</f>
        <v>-1.3506798654921632</v>
      </c>
      <c r="D631" s="35">
        <f t="shared" si="60"/>
        <v>1.0375000000000001</v>
      </c>
      <c r="E631" s="35">
        <f t="shared" si="64"/>
        <v>-3.4707971641061603</v>
      </c>
      <c r="F631">
        <f t="shared" si="65"/>
        <v>-1.7870729815186808E-3</v>
      </c>
      <c r="G631">
        <f t="shared" si="66"/>
        <v>6.2025678363057781E-3</v>
      </c>
      <c r="H631">
        <f>+Tabla21[[#This Row],[Kx/E]]*Tabla21[[#This Row],[y ̅=y-yCR]]*$B$642/$D$642</f>
        <v>0</v>
      </c>
      <c r="I631">
        <f>+Tabla21[[#This Row],[Kx/E]]*Tabla21[[#This Row],[y ̅=y-yCR]]*$B$643/$D$642</f>
        <v>0</v>
      </c>
      <c r="J631" t="e">
        <f>+Tabla19[[#This Row],[(Kx/E)(F1)/(∑Kx/E)]]</f>
        <v>#VALUE!</v>
      </c>
    </row>
    <row r="632" spans="1:10" x14ac:dyDescent="0.3">
      <c r="A632" t="s">
        <v>208</v>
      </c>
      <c r="B632" s="54">
        <f t="shared" si="59"/>
        <v>1.0367009075496159E-4</v>
      </c>
      <c r="C632">
        <f>+Tabla21[[#This Row],[Kx/E]]*$B$641/Tabla21[[#Totals],[Kx/E]]</f>
        <v>-0.27195237111950915</v>
      </c>
      <c r="D632" s="35">
        <f t="shared" si="60"/>
        <v>7.1124999999999998</v>
      </c>
      <c r="E632" s="35">
        <f t="shared" si="64"/>
        <v>2.6042028358938394</v>
      </c>
      <c r="F632">
        <f t="shared" si="65"/>
        <v>2.6997794434144268E-4</v>
      </c>
      <c r="G632">
        <f t="shared" si="66"/>
        <v>7.030773282827741E-4</v>
      </c>
      <c r="H632">
        <f>+Tabla21[[#This Row],[Kx/E]]*Tabla21[[#This Row],[y ̅=y-yCR]]*$B$642/$D$642</f>
        <v>0</v>
      </c>
      <c r="I632">
        <f>+Tabla21[[#This Row],[Kx/E]]*Tabla21[[#This Row],[y ̅=y-yCR]]*$B$643/$D$642</f>
        <v>0</v>
      </c>
      <c r="J632" t="e">
        <f>+Tabla19[[#This Row],[(Kx/E)(F1)/(∑Kx/E)]]</f>
        <v>#VALUE!</v>
      </c>
    </row>
    <row r="633" spans="1:10" x14ac:dyDescent="0.3">
      <c r="A633" t="s">
        <v>209</v>
      </c>
      <c r="B633" s="54">
        <f t="shared" si="59"/>
        <v>5.9240051859978052E-5</v>
      </c>
      <c r="C633">
        <f>+Tabla21[[#This Row],[Kx/E]]*$B$641/Tabla21[[#Totals],[Kx/E]]</f>
        <v>-0.1554013549254338</v>
      </c>
      <c r="D633" s="35">
        <f t="shared" si="60"/>
        <v>4.55</v>
      </c>
      <c r="E633" s="35">
        <f t="shared" si="64"/>
        <v>4.1702835893839385E-2</v>
      </c>
      <c r="F633">
        <f t="shared" si="65"/>
        <v>2.4704781610591993E-6</v>
      </c>
      <c r="G633">
        <f t="shared" si="66"/>
        <v>1.030259453299659E-7</v>
      </c>
      <c r="H633">
        <f>+Tabla21[[#This Row],[Kx/E]]*Tabla21[[#This Row],[y ̅=y-yCR]]*$B$642/$D$642</f>
        <v>0</v>
      </c>
      <c r="I633">
        <f>+Tabla21[[#This Row],[Kx/E]]*Tabla21[[#This Row],[y ̅=y-yCR]]*$B$643/$D$642</f>
        <v>0</v>
      </c>
      <c r="J633" t="e">
        <f>+Tabla19[[#This Row],[(Kx/E)(F1)/(∑Kx/E)]]</f>
        <v>#VALUE!</v>
      </c>
    </row>
    <row r="634" spans="1:10" x14ac:dyDescent="0.3">
      <c r="A634" t="s">
        <v>210</v>
      </c>
      <c r="B634" s="54">
        <f t="shared" si="59"/>
        <v>2.1351166650395394E-4</v>
      </c>
      <c r="C634">
        <f>+Tabla21[[#This Row],[Kx/E]]*$B$641/Tabla21[[#Totals],[Kx/E]]</f>
        <v>-0.56009407867378758</v>
      </c>
      <c r="D634" s="35">
        <f t="shared" si="60"/>
        <v>2</v>
      </c>
      <c r="E634" s="35">
        <f t="shared" si="64"/>
        <v>-2.5082971641061604</v>
      </c>
      <c r="F634">
        <f t="shared" si="65"/>
        <v>-5.3555070759544793E-4</v>
      </c>
      <c r="G634">
        <f t="shared" si="66"/>
        <v>1.3433203210967096E-3</v>
      </c>
      <c r="H634">
        <f>+Tabla21[[#This Row],[Kx/E]]*Tabla21[[#This Row],[y ̅=y-yCR]]*$B$642/$D$642</f>
        <v>0</v>
      </c>
      <c r="I634">
        <f>+Tabla21[[#This Row],[Kx/E]]*Tabla21[[#This Row],[y ̅=y-yCR]]*$B$643/$D$642</f>
        <v>0</v>
      </c>
      <c r="J634" t="e">
        <f>+Tabla19[[#This Row],[(Kx/E)(F1)/(∑Kx/E)]]</f>
        <v>#VALUE!</v>
      </c>
    </row>
    <row r="635" spans="1:10" x14ac:dyDescent="0.3">
      <c r="A635" t="s">
        <v>211</v>
      </c>
      <c r="B635" s="54">
        <f t="shared" si="59"/>
        <v>1.0367009075496159E-4</v>
      </c>
      <c r="C635">
        <f>+Tabla21[[#This Row],[Kx/E]]*$B$641/Tabla21[[#Totals],[Kx/E]]</f>
        <v>-0.27195237111950915</v>
      </c>
      <c r="D635" s="35">
        <f t="shared" si="60"/>
        <v>2.8875000000000002</v>
      </c>
      <c r="E635" s="35">
        <f t="shared" si="64"/>
        <v>-1.6207971641061603</v>
      </c>
      <c r="F635">
        <f t="shared" si="65"/>
        <v>-1.6802818909827E-4</v>
      </c>
      <c r="G635">
        <f t="shared" si="66"/>
        <v>2.7233961238036964E-4</v>
      </c>
      <c r="H635">
        <f>+Tabla21[[#This Row],[Kx/E]]*Tabla21[[#This Row],[y ̅=y-yCR]]*$B$642/$D$642</f>
        <v>0</v>
      </c>
      <c r="I635">
        <f>+Tabla21[[#This Row],[Kx/E]]*Tabla21[[#This Row],[y ̅=y-yCR]]*$B$643/$D$642</f>
        <v>0</v>
      </c>
      <c r="J635" t="e">
        <f>+Tabla19[[#This Row],[(Kx/E)(F1)/(∑Kx/E)]]</f>
        <v>#VALUE!</v>
      </c>
    </row>
    <row r="636" spans="1:10" x14ac:dyDescent="0.3">
      <c r="A636" t="s">
        <v>212</v>
      </c>
      <c r="B636" s="54">
        <f t="shared" si="59"/>
        <v>1.3563080887089348E-3</v>
      </c>
      <c r="C636">
        <f>+Tabla21[[#This Row],[Kx/E]]*$B$641/Tabla21[[#Totals],[Kx/E]]</f>
        <v>-3.5579326496857671</v>
      </c>
      <c r="D636" s="35">
        <f t="shared" si="60"/>
        <v>6.0750000000000002</v>
      </c>
      <c r="E636" s="35">
        <f t="shared" si="64"/>
        <v>1.5667028358938397</v>
      </c>
      <c r="F636">
        <f t="shared" si="65"/>
        <v>2.1249317289260415E-3</v>
      </c>
      <c r="G636">
        <f t="shared" si="66"/>
        <v>3.3291365657892296E-3</v>
      </c>
      <c r="H636">
        <f>+Tabla21[[#This Row],[Kx/E]]*Tabla21[[#This Row],[y ̅=y-yCR]]*$B$642/$D$642</f>
        <v>0</v>
      </c>
      <c r="I636">
        <f>+Tabla21[[#This Row],[Kx/E]]*Tabla21[[#This Row],[y ̅=y-yCR]]*$B$643/$D$642</f>
        <v>0</v>
      </c>
      <c r="J636" t="e">
        <f>+Tabla19[[#This Row],[(Kx/E)(F1)/(∑Kx/E)]]</f>
        <v>#VALUE!</v>
      </c>
    </row>
    <row r="637" spans="1:10" x14ac:dyDescent="0.3">
      <c r="A637" t="s">
        <v>213</v>
      </c>
      <c r="B637" s="54">
        <f t="shared" si="59"/>
        <v>1.3563080887089348E-3</v>
      </c>
      <c r="C637">
        <f>+Tabla21[[#This Row],[Kx/E]]*$B$641/Tabla21[[#Totals],[Kx/E]]</f>
        <v>-3.5579326496857671</v>
      </c>
      <c r="D637" s="35">
        <f t="shared" si="60"/>
        <v>3.9249999999999998</v>
      </c>
      <c r="E637" s="35">
        <f t="shared" si="64"/>
        <v>-0.58329716410616061</v>
      </c>
      <c r="F637">
        <f t="shared" si="65"/>
        <v>-7.9113066179816859E-4</v>
      </c>
      <c r="G637">
        <f t="shared" si="66"/>
        <v>4.6146427146430175E-4</v>
      </c>
      <c r="H637">
        <f>+Tabla21[[#This Row],[Kx/E]]*Tabla21[[#This Row],[y ̅=y-yCR]]*$B$642/$D$642</f>
        <v>0</v>
      </c>
      <c r="I637">
        <f>+Tabla21[[#This Row],[Kx/E]]*Tabla21[[#This Row],[y ̅=y-yCR]]*$B$643/$D$642</f>
        <v>0</v>
      </c>
      <c r="J637" t="e">
        <f>+Tabla19[[#This Row],[(Kx/E)(F1)/(∑Kx/E)]]</f>
        <v>#VALUE!</v>
      </c>
    </row>
    <row r="638" spans="1:10" x14ac:dyDescent="0.3">
      <c r="A638" t="s">
        <v>214</v>
      </c>
      <c r="B638" s="54">
        <f t="shared" si="59"/>
        <v>2.1351166650395394E-4</v>
      </c>
      <c r="C638">
        <f>+Tabla21[[#This Row],[Kx/E]]*$B$641/Tabla21[[#Totals],[Kx/E]]</f>
        <v>-0.56009407867378758</v>
      </c>
      <c r="D638" s="35">
        <f t="shared" si="60"/>
        <v>8</v>
      </c>
      <c r="E638" s="35">
        <f t="shared" si="64"/>
        <v>3.4917028358938396</v>
      </c>
      <c r="F638">
        <f t="shared" si="65"/>
        <v>7.4551929142827565E-4</v>
      </c>
      <c r="G638">
        <f t="shared" si="66"/>
        <v>2.603131824093676E-3</v>
      </c>
      <c r="H638">
        <f>+Tabla21[[#This Row],[Kx/E]]*Tabla21[[#This Row],[y ̅=y-yCR]]*$B$642/$D$642</f>
        <v>0</v>
      </c>
      <c r="I638">
        <f>+Tabla21[[#This Row],[Kx/E]]*Tabla21[[#This Row],[y ̅=y-yCR]]*$B$643/$D$642</f>
        <v>0</v>
      </c>
      <c r="J638" t="e">
        <f>+Tabla19[[#This Row],[(Kx/E)(F1)/(∑Kx/E)]]</f>
        <v>#VALUE!</v>
      </c>
    </row>
    <row r="639" spans="1:10" x14ac:dyDescent="0.3">
      <c r="A639" t="s">
        <v>15</v>
      </c>
      <c r="B639" s="54">
        <f>SUBTOTAL(109,Tabla21[Kx/E])</f>
        <v>0.10638407547011541</v>
      </c>
      <c r="G639">
        <f>SUBTOTAL(109,Tabla21[(K/E)*Ypro2])</f>
        <v>0.54676586530959936</v>
      </c>
      <c r="J639">
        <f>SUBTOTAL(103,Tabla21[V(final)])</f>
        <v>21</v>
      </c>
    </row>
    <row r="641" spans="1:10" x14ac:dyDescent="0.3">
      <c r="A641" t="s">
        <v>257</v>
      </c>
      <c r="B641">
        <f>+$F$250</f>
        <v>-279.07182643292958</v>
      </c>
    </row>
    <row r="642" spans="1:10" x14ac:dyDescent="0.3">
      <c r="A642" t="s">
        <v>268</v>
      </c>
      <c r="B642">
        <f>+C608</f>
        <v>0</v>
      </c>
      <c r="C642" s="36" t="s">
        <v>18</v>
      </c>
      <c r="D642">
        <f>+Tabla21[[#Totals],[(K/E)*Ypro2]]+Tabla2123[[#Totals],[(K/E)*Ypro2]]</f>
        <v>1.1193832884974722</v>
      </c>
    </row>
    <row r="643" spans="1:10" x14ac:dyDescent="0.3">
      <c r="A643" t="s">
        <v>269</v>
      </c>
      <c r="B643">
        <f>+C609</f>
        <v>0</v>
      </c>
    </row>
    <row r="645" spans="1:10" x14ac:dyDescent="0.3">
      <c r="A645" t="s">
        <v>260</v>
      </c>
    </row>
    <row r="646" spans="1:10" x14ac:dyDescent="0.3">
      <c r="A646" t="s">
        <v>161</v>
      </c>
      <c r="B646" t="s">
        <v>180</v>
      </c>
      <c r="C646" t="s">
        <v>249</v>
      </c>
      <c r="D646" t="s">
        <v>250</v>
      </c>
      <c r="E646" s="53" t="s">
        <v>251</v>
      </c>
      <c r="F646" t="s">
        <v>252</v>
      </c>
      <c r="G646" t="s">
        <v>253</v>
      </c>
      <c r="H646" t="s">
        <v>254</v>
      </c>
      <c r="I646" t="s">
        <v>255</v>
      </c>
      <c r="J646" t="s">
        <v>256</v>
      </c>
    </row>
    <row r="647" spans="1:10" x14ac:dyDescent="0.3">
      <c r="A647" t="s">
        <v>169</v>
      </c>
      <c r="B647" s="54">
        <f t="shared" ref="B647:B667" si="67">+I433</f>
        <v>5.9240051859978052E-5</v>
      </c>
      <c r="C647">
        <f>+Tabla2123[[#This Row],[Ky/E]]*$B$641/Tabla2123[[#Totals],[Ky/E]]</f>
        <v>-0.22225111633254963</v>
      </c>
      <c r="D647" s="35">
        <f t="shared" ref="D647:D667" si="68">+E481</f>
        <v>9.9250000000000007</v>
      </c>
      <c r="E647" s="35">
        <f>+D647-$G$355</f>
        <v>5.4167028358938403</v>
      </c>
      <c r="F647">
        <f>+B647*E647</f>
        <v>3.2088575690844128E-4</v>
      </c>
      <c r="G647">
        <f>+B647*POWER(E647,2)</f>
        <v>1.7381427894438953E-3</v>
      </c>
      <c r="H647">
        <f>+Tabla2123[[#This Row],[Ky/E]]*Tabla2123[[#This Row],[y ̅=y-yCR]]*$B$671/$D$671</f>
        <v>-1.0199276003630025E-3</v>
      </c>
      <c r="I647">
        <f>+Tabla2123[[#This Row],[Ky/E]]*Tabla2123[[#This Row],[y ̅=y-yCR]]*$B$672/$D$671</f>
        <v>-1.6055824150851638E-4</v>
      </c>
      <c r="J647" t="e">
        <f>+Tabla19[[#This Row],[(Kx/E)(F1)/(∑Kx/E)]]</f>
        <v>#VALUE!</v>
      </c>
    </row>
    <row r="648" spans="1:10" x14ac:dyDescent="0.3">
      <c r="A648" t="s">
        <v>170</v>
      </c>
      <c r="B648" s="54">
        <f t="shared" si="67"/>
        <v>4.846913333998204E-5</v>
      </c>
      <c r="C648">
        <f>+Tabla2123[[#This Row],[Ky/E]]*$B$641/Tabla2123[[#Totals],[Ky/E]]</f>
        <v>-0.18184182245390421</v>
      </c>
      <c r="D648" s="35">
        <f t="shared" si="68"/>
        <v>9.9250000000000007</v>
      </c>
      <c r="E648" s="35">
        <f t="shared" ref="E648:E656" si="69">+D648-$G$355</f>
        <v>5.4167028358938403</v>
      </c>
      <c r="F648">
        <f t="shared" ref="F648:F656" si="70">+B648*E648</f>
        <v>2.6254289201599741E-4</v>
      </c>
      <c r="G648">
        <f t="shared" ref="G648:G656" si="71">+B648*POWER(E648,2)</f>
        <v>1.4221168277268232E-3</v>
      </c>
      <c r="H648">
        <f>+Tabla2123[[#This Row],[Ky/E]]*Tabla2123[[#This Row],[y ̅=y-yCR]]*$B$671/$D$671</f>
        <v>-8.3448621847882027E-4</v>
      </c>
      <c r="I648">
        <f>+Tabla2123[[#This Row],[Ky/E]]*Tabla2123[[#This Row],[y ̅=y-yCR]]*$B$672/$D$671</f>
        <v>-1.3136583396151339E-4</v>
      </c>
      <c r="J648" t="e">
        <f>+Tabla19[[#This Row],[(Kx/E)(F1)/(∑Kx/E)]]</f>
        <v>#VALUE!</v>
      </c>
    </row>
    <row r="649" spans="1:10" x14ac:dyDescent="0.3">
      <c r="A649" t="s">
        <v>171</v>
      </c>
      <c r="B649" s="54">
        <f t="shared" si="67"/>
        <v>1.3463648149995012E-4</v>
      </c>
      <c r="C649">
        <f>+Tabla2123[[#This Row],[Ky/E]]*$B$641/Tabla2123[[#Totals],[Ky/E]]</f>
        <v>-0.50511617348306737</v>
      </c>
      <c r="D649" s="35">
        <f t="shared" si="68"/>
        <v>9.9250000000000007</v>
      </c>
      <c r="E649" s="35">
        <f t="shared" si="69"/>
        <v>5.4167028358938403</v>
      </c>
      <c r="F649">
        <f t="shared" si="70"/>
        <v>7.2928581115554831E-4</v>
      </c>
      <c r="G649">
        <f t="shared" si="71"/>
        <v>3.9503245214633984E-3</v>
      </c>
      <c r="H649">
        <f>+Tabla2123[[#This Row],[Ky/E]]*Tabla2123[[#This Row],[y ̅=y-yCR]]*$B$671/$D$671</f>
        <v>-2.3180172735522784E-3</v>
      </c>
      <c r="I649">
        <f>+Tabla2123[[#This Row],[Ky/E]]*Tabla2123[[#This Row],[y ̅=y-yCR]]*$B$672/$D$671</f>
        <v>-3.6490509433753713E-4</v>
      </c>
      <c r="J649" t="e">
        <f>+Tabla19[[#This Row],[(Kx/E)(F1)/(∑Kx/E)]]</f>
        <v>#VALUE!</v>
      </c>
    </row>
    <row r="650" spans="1:10" x14ac:dyDescent="0.3">
      <c r="A650" t="s">
        <v>172</v>
      </c>
      <c r="B650" s="54">
        <f t="shared" si="67"/>
        <v>1.3463648149995012E-4</v>
      </c>
      <c r="C650">
        <f>+Tabla2123[[#This Row],[Ky/E]]*$B$641/Tabla2123[[#Totals],[Ky/E]]</f>
        <v>-0.50511617348306737</v>
      </c>
      <c r="D650" s="35">
        <f t="shared" si="68"/>
        <v>5</v>
      </c>
      <c r="E650" s="35">
        <f t="shared" si="69"/>
        <v>0.49170283589383956</v>
      </c>
      <c r="F650">
        <f t="shared" si="70"/>
        <v>6.6201139768293942E-5</v>
      </c>
      <c r="G650">
        <f t="shared" si="71"/>
        <v>3.2551288163474569E-5</v>
      </c>
      <c r="H650">
        <f>+Tabla2123[[#This Row],[Ky/E]]*Tabla2123[[#This Row],[y ̅=y-yCR]]*$B$671/$D$671</f>
        <v>-2.1041871809984215E-4</v>
      </c>
      <c r="I650">
        <f>+Tabla2123[[#This Row],[Ky/E]]*Tabla2123[[#This Row],[y ̅=y-yCR]]*$B$672/$D$671</f>
        <v>-3.3124370148001337E-5</v>
      </c>
      <c r="J650" t="e">
        <f>+Tabla19[[#This Row],[(Kx/E)(F1)/(∑Kx/E)]]</f>
        <v>#VALUE!</v>
      </c>
    </row>
    <row r="651" spans="1:10" x14ac:dyDescent="0.3">
      <c r="A651" t="s">
        <v>173</v>
      </c>
      <c r="B651" s="54">
        <f t="shared" si="67"/>
        <v>2.3562521634496517E-2</v>
      </c>
      <c r="C651">
        <f>+Tabla2123[[#This Row],[Ky/E]]*$B$641/Tabla2123[[#Totals],[Ky/E]]</f>
        <v>-88.399597442193112</v>
      </c>
      <c r="D651" s="35">
        <f t="shared" si="68"/>
        <v>7.4999999999999997E-2</v>
      </c>
      <c r="E651" s="35">
        <f t="shared" si="69"/>
        <v>-4.4332971641061603</v>
      </c>
      <c r="F651">
        <f t="shared" si="70"/>
        <v>-0.10445966034140346</v>
      </c>
      <c r="G651">
        <f t="shared" si="71"/>
        <v>0.46310071595503666</v>
      </c>
      <c r="H651">
        <f>+Tabla2123[[#This Row],[Ky/E]]*Tabla2123[[#This Row],[y ̅=y-yCR]]*$B$671/$D$671</f>
        <v>0.3320224983907325</v>
      </c>
      <c r="I651">
        <f>+Tabla2123[[#This Row],[Ky/E]]*Tabla2123[[#This Row],[y ̅=y-yCR]]*$B$672/$D$671</f>
        <v>5.2267384924093656E-2</v>
      </c>
      <c r="J651" t="e">
        <f>+Tabla19[[#This Row],[(Kx/E)(F1)/(∑Kx/E)]]</f>
        <v>#VALUE!</v>
      </c>
    </row>
    <row r="652" spans="1:10" x14ac:dyDescent="0.3">
      <c r="A652" t="s">
        <v>174</v>
      </c>
      <c r="B652" s="54">
        <f t="shared" si="67"/>
        <v>1.2655829260995312E-4</v>
      </c>
      <c r="C652">
        <f>+Tabla2123[[#This Row],[Ky/E]]*$B$641/Tabla2123[[#Totals],[Ky/E]]</f>
        <v>-0.47480920307408331</v>
      </c>
      <c r="D652" s="35">
        <f t="shared" si="68"/>
        <v>7.4999999999999997E-2</v>
      </c>
      <c r="E652" s="35">
        <f t="shared" si="69"/>
        <v>-4.4332971641061603</v>
      </c>
      <c r="F652">
        <f t="shared" si="70"/>
        <v>-5.6107051972182275E-4</v>
      </c>
      <c r="G652">
        <f t="shared" si="71"/>
        <v>2.4873923439463264E-3</v>
      </c>
      <c r="H652">
        <f>+Tabla2123[[#This Row],[Ky/E]]*Tabla2123[[#This Row],[y ̅=y-yCR]]*$B$671/$D$671</f>
        <v>1.7833490471114383E-3</v>
      </c>
      <c r="I652">
        <f>+Tabla2123[[#This Row],[Ky/E]]*Tabla2123[[#This Row],[y ̅=y-yCR]]*$B$672/$D$671</f>
        <v>2.807369727990424E-4</v>
      </c>
      <c r="J652" t="e">
        <f>+Tabla19[[#This Row],[(Kx/E)(F1)/(∑Kx/E)]]</f>
        <v>#VALUE!</v>
      </c>
    </row>
    <row r="653" spans="1:10" x14ac:dyDescent="0.3">
      <c r="A653" t="s">
        <v>175</v>
      </c>
      <c r="B653" s="54">
        <f t="shared" si="67"/>
        <v>1.2655829260995312E-4</v>
      </c>
      <c r="C653">
        <f>+Tabla2123[[#This Row],[Ky/E]]*$B$641/Tabla2123[[#Totals],[Ky/E]]</f>
        <v>-0.47480920307408331</v>
      </c>
      <c r="D653" s="35">
        <f t="shared" si="68"/>
        <v>7.4999999999999997E-2</v>
      </c>
      <c r="E653" s="35">
        <f t="shared" si="69"/>
        <v>-4.4332971641061603</v>
      </c>
      <c r="F653">
        <f t="shared" si="70"/>
        <v>-5.6107051972182275E-4</v>
      </c>
      <c r="G653">
        <f t="shared" si="71"/>
        <v>2.4873923439463264E-3</v>
      </c>
      <c r="H653">
        <f>+Tabla2123[[#This Row],[Ky/E]]*Tabla2123[[#This Row],[y ̅=y-yCR]]*$B$671/$D$671</f>
        <v>1.7833490471114383E-3</v>
      </c>
      <c r="I653">
        <f>+Tabla2123[[#This Row],[Ky/E]]*Tabla2123[[#This Row],[y ̅=y-yCR]]*$B$672/$D$671</f>
        <v>2.807369727990424E-4</v>
      </c>
      <c r="J653" t="e">
        <f>+Tabla19[[#This Row],[(Kx/E)(F1)/(∑Kx/E)]]</f>
        <v>#VALUE!</v>
      </c>
    </row>
    <row r="654" spans="1:10" x14ac:dyDescent="0.3">
      <c r="A654" t="s">
        <v>176</v>
      </c>
      <c r="B654" s="54">
        <f t="shared" si="67"/>
        <v>2.3562521634496517E-2</v>
      </c>
      <c r="C654">
        <f>+Tabla2123[[#This Row],[Ky/E]]*$B$641/Tabla2123[[#Totals],[Ky/E]]</f>
        <v>-88.399597442193112</v>
      </c>
      <c r="D654" s="35">
        <f t="shared" si="68"/>
        <v>3.9249999999999998</v>
      </c>
      <c r="E654" s="35">
        <f t="shared" si="69"/>
        <v>-0.58329716410616061</v>
      </c>
      <c r="F654">
        <f t="shared" si="70"/>
        <v>-1.3743952048591876E-2</v>
      </c>
      <c r="G654">
        <f t="shared" si="71"/>
        <v>8.0168082535546966E-3</v>
      </c>
      <c r="H654">
        <f>+Tabla2123[[#This Row],[Ky/E]]*Tabla2123[[#This Row],[y ̅=y-yCR]]*$B$671/$D$671</f>
        <v>4.368481844591255E-2</v>
      </c>
      <c r="I654">
        <f>+Tabla2123[[#This Row],[Ky/E]]*Tabla2123[[#This Row],[y ̅=y-yCR]]*$B$672/$D$671</f>
        <v>6.8769171731387392E-3</v>
      </c>
      <c r="J654" t="e">
        <f>+Tabla19[[#This Row],[(Kx/E)(F1)/(∑Kx/E)]]</f>
        <v>#VALUE!</v>
      </c>
    </row>
    <row r="655" spans="1:10" x14ac:dyDescent="0.3">
      <c r="A655" t="s">
        <v>177</v>
      </c>
      <c r="B655" s="54">
        <f t="shared" si="67"/>
        <v>1.1850407531105611E-2</v>
      </c>
      <c r="C655">
        <f>+Tabla2123[[#This Row],[Ky/E]]*$B$641/Tabla2123[[#Totals],[Ky/E]]</f>
        <v>-44.459216696993131</v>
      </c>
      <c r="D655" s="35">
        <f t="shared" si="68"/>
        <v>6.0750000000000002</v>
      </c>
      <c r="E655" s="35">
        <f t="shared" si="69"/>
        <v>1.5667028358938397</v>
      </c>
      <c r="F655">
        <f t="shared" si="70"/>
        <v>1.8566067085480878E-2</v>
      </c>
      <c r="G655">
        <f t="shared" si="71"/>
        <v>2.9087509954218164E-2</v>
      </c>
      <c r="H655">
        <f>+Tabla2123[[#This Row],[Ky/E]]*Tabla2123[[#This Row],[y ̅=y-yCR]]*$B$671/$D$671</f>
        <v>-5.9011794207108052E-2</v>
      </c>
      <c r="I655">
        <f>+Tabla2123[[#This Row],[Ky/E]]*Tabla2123[[#This Row],[y ̅=y-yCR]]*$B$672/$D$671</f>
        <v>-9.2897083114365508E-3</v>
      </c>
      <c r="J655" t="e">
        <f>+Tabla19[[#This Row],[(Kx/E)(F1)/(∑Kx/E)]]</f>
        <v>#VALUE!</v>
      </c>
    </row>
    <row r="656" spans="1:10" x14ac:dyDescent="0.3">
      <c r="A656" t="s">
        <v>178</v>
      </c>
      <c r="B656" s="54">
        <f t="shared" si="67"/>
        <v>2.7893817673768783E-3</v>
      </c>
      <c r="C656">
        <f>+Tabla2123[[#This Row],[Ky/E]]*$B$641/Tabla2123[[#Totals],[Ky/E]]</f>
        <v>-10.464933642234005</v>
      </c>
      <c r="D656" s="35">
        <f t="shared" si="68"/>
        <v>8.9625000000000004</v>
      </c>
      <c r="E656" s="35">
        <f t="shared" si="69"/>
        <v>4.4542028358938399</v>
      </c>
      <c r="F656">
        <f t="shared" si="70"/>
        <v>1.2424472178640662E-2</v>
      </c>
      <c r="G656">
        <f t="shared" si="71"/>
        <v>5.5341119212585353E-2</v>
      </c>
      <c r="H656">
        <f>+Tabla2123[[#This Row],[Ky/E]]*Tabla2123[[#This Row],[y ̅=y-yCR]]*$B$671/$D$671</f>
        <v>-3.9490883662229956E-2</v>
      </c>
      <c r="I656">
        <f>+Tabla2123[[#This Row],[Ky/E]]*Tabla2123[[#This Row],[y ̅=y-yCR]]*$B$672/$D$671</f>
        <v>-6.2167028661332061E-3</v>
      </c>
      <c r="J656" t="e">
        <f>+Tabla19[[#This Row],[(Kx/E)(F1)/(∑Kx/E)]]</f>
        <v>#VALUE!</v>
      </c>
    </row>
    <row r="657" spans="1:10" x14ac:dyDescent="0.3">
      <c r="A657" t="s">
        <v>204</v>
      </c>
      <c r="B657" s="54">
        <f t="shared" si="67"/>
        <v>2.423456666999102E-5</v>
      </c>
      <c r="C657">
        <f>+Tabla2123[[#This Row],[Ky/E]]*$B$641/Tabla2123[[#Totals],[Ky/E]]</f>
        <v>-9.0920911226952103E-2</v>
      </c>
      <c r="D657" s="35">
        <f t="shared" si="68"/>
        <v>6.0750000000000002</v>
      </c>
      <c r="E657" s="35">
        <f>+D657-$G$355</f>
        <v>1.5667028358938397</v>
      </c>
      <c r="F657">
        <f>+B657*E657</f>
        <v>3.7968364328533257E-5</v>
      </c>
      <c r="G657">
        <f>+B657*POWER(E657,2)</f>
        <v>5.9485144067763562E-5</v>
      </c>
      <c r="H657">
        <f>+Tabla2123[[#This Row],[Ky/E]]*Tabla2123[[#This Row],[y ̅=y-yCR]]*$B$671/$D$671</f>
        <v>-1.2068152570062061E-4</v>
      </c>
      <c r="I657">
        <f>+Tabla2123[[#This Row],[Ky/E]]*Tabla2123[[#This Row],[y ̅=y-yCR]]*$B$672/$D$671</f>
        <v>-1.8997832338452459E-5</v>
      </c>
      <c r="J657" t="e">
        <f>+Tabla19[[#This Row],[(Kx/E)(F1)/(∑Kx/E)]]</f>
        <v>#VALUE!</v>
      </c>
    </row>
    <row r="658" spans="1:10" x14ac:dyDescent="0.3">
      <c r="A658" t="s">
        <v>205</v>
      </c>
      <c r="B658" s="54">
        <f t="shared" si="67"/>
        <v>1.1850407531105611E-2</v>
      </c>
      <c r="C658">
        <f>+Tabla2123[[#This Row],[Ky/E]]*$B$641/Tabla2123[[#Totals],[Ky/E]]</f>
        <v>-44.459216696993131</v>
      </c>
      <c r="D658" s="35">
        <f t="shared" si="68"/>
        <v>3.9249999999999998</v>
      </c>
      <c r="E658" s="35">
        <f t="shared" ref="E658:E667" si="72">+D658-$G$355</f>
        <v>-0.58329716410616061</v>
      </c>
      <c r="F658">
        <f t="shared" ref="F658:F667" si="73">+B658*E658</f>
        <v>-6.9123091063961915E-3</v>
      </c>
      <c r="G658">
        <f t="shared" ref="G658:G667" si="74">+B658*POWER(E658,2)</f>
        <v>4.0319302991860878E-3</v>
      </c>
      <c r="H658">
        <f>+Tabla2123[[#This Row],[Ky/E]]*Tabla2123[[#This Row],[y ̅=y-yCR]]*$B$671/$D$671</f>
        <v>2.1970606946775762E-2</v>
      </c>
      <c r="I658">
        <f>+Tabla2123[[#This Row],[Ky/E]]*Tabla2123[[#This Row],[y ̅=y-yCR]]*$B$672/$D$671</f>
        <v>3.4586396279438023E-3</v>
      </c>
      <c r="J658" t="e">
        <f>+Tabla19[[#This Row],[(Kx/E)(F1)/(∑Kx/E)]]</f>
        <v>#VALUE!</v>
      </c>
    </row>
    <row r="659" spans="1:10" x14ac:dyDescent="0.3">
      <c r="A659" t="s">
        <v>206</v>
      </c>
      <c r="B659" s="54">
        <f t="shared" si="67"/>
        <v>4.5776403709983036E-5</v>
      </c>
      <c r="C659">
        <f>+Tabla2123[[#This Row],[Ky/E]]*$B$641/Tabla2123[[#Totals],[Ky/E]]</f>
        <v>-0.17173949898424287</v>
      </c>
      <c r="D659" s="35">
        <f t="shared" si="68"/>
        <v>1.0375000000000001</v>
      </c>
      <c r="E659" s="35">
        <f t="shared" si="72"/>
        <v>-3.4707971641061603</v>
      </c>
      <c r="F659">
        <f t="shared" si="73"/>
        <v>-1.5888061217958783E-4</v>
      </c>
      <c r="G659">
        <f t="shared" si="74"/>
        <v>5.5144237818436411E-4</v>
      </c>
      <c r="H659">
        <f>+Tabla2123[[#This Row],[Ky/E]]*Tabla2123[[#This Row],[y ̅=y-yCR]]*$B$671/$D$671</f>
        <v>5.0499817469545362E-4</v>
      </c>
      <c r="I659">
        <f>+Tabla2123[[#This Row],[Ky/E]]*Tabla2123[[#This Row],[y ̅=y-yCR]]*$B$672/$D$671</f>
        <v>7.9497425959700266E-5</v>
      </c>
      <c r="J659" t="e">
        <f>+Tabla19[[#This Row],[(Kx/E)(F1)/(∑Kx/E)]]</f>
        <v>#VALUE!</v>
      </c>
    </row>
    <row r="660" spans="1:10" x14ac:dyDescent="0.3">
      <c r="A660" t="s">
        <v>207</v>
      </c>
      <c r="B660" s="54">
        <f t="shared" si="67"/>
        <v>4.5776403709983036E-5</v>
      </c>
      <c r="C660">
        <f>+Tabla2123[[#This Row],[Ky/E]]*$B$641/Tabla2123[[#Totals],[Ky/E]]</f>
        <v>-0.17173949898424287</v>
      </c>
      <c r="D660" s="35">
        <f t="shared" si="68"/>
        <v>7.1124999999999998</v>
      </c>
      <c r="E660" s="35">
        <f t="shared" si="72"/>
        <v>2.6042028358938394</v>
      </c>
      <c r="F660">
        <f t="shared" si="73"/>
        <v>1.1921104035855909E-4</v>
      </c>
      <c r="G660">
        <f t="shared" si="74"/>
        <v>3.1044972937161451E-4</v>
      </c>
      <c r="H660">
        <f>+Tabla2123[[#This Row],[Ky/E]]*Tabla2123[[#This Row],[y ̅=y-yCR]]*$B$671/$D$671</f>
        <v>-3.7890940221561371E-4</v>
      </c>
      <c r="I660">
        <f>+Tabla2123[[#This Row],[Ky/E]]*Tabla2123[[#This Row],[y ̅=y-yCR]]*$B$672/$D$671</f>
        <v>-5.9648378266388273E-5</v>
      </c>
      <c r="J660" t="e">
        <f>+Tabla19[[#This Row],[(Kx/E)(F1)/(∑Kx/E)]]</f>
        <v>#VALUE!</v>
      </c>
    </row>
    <row r="661" spans="1:10" x14ac:dyDescent="0.3">
      <c r="A661" t="s">
        <v>208</v>
      </c>
      <c r="B661" s="54">
        <f t="shared" si="67"/>
        <v>2.423456666999102E-5</v>
      </c>
      <c r="C661">
        <f>+Tabla2123[[#This Row],[Ky/E]]*$B$641/Tabla2123[[#Totals],[Ky/E]]</f>
        <v>-9.0920911226952103E-2</v>
      </c>
      <c r="D661" s="35">
        <f t="shared" si="68"/>
        <v>4.55</v>
      </c>
      <c r="E661" s="35">
        <f t="shared" si="72"/>
        <v>4.1702835893839385E-2</v>
      </c>
      <c r="F661">
        <f t="shared" si="73"/>
        <v>1.0106501567969451E-6</v>
      </c>
      <c r="G661">
        <f t="shared" si="74"/>
        <v>4.2146977634986047E-8</v>
      </c>
      <c r="H661">
        <f>+Tabla2123[[#This Row],[Ky/E]]*Tabla2123[[#This Row],[y ̅=y-yCR]]*$B$671/$D$671</f>
        <v>-3.2123270261650068E-6</v>
      </c>
      <c r="I661">
        <f>+Tabla2123[[#This Row],[Ky/E]]*Tabla2123[[#This Row],[y ̅=y-yCR]]*$B$672/$D$671</f>
        <v>-5.0568842169558813E-7</v>
      </c>
      <c r="J661" t="e">
        <f>+Tabla19[[#This Row],[(Kx/E)(F1)/(∑Kx/E)]]</f>
        <v>#VALUE!</v>
      </c>
    </row>
    <row r="662" spans="1:10" x14ac:dyDescent="0.3">
      <c r="A662" t="s">
        <v>209</v>
      </c>
      <c r="B662" s="54">
        <f t="shared" si="67"/>
        <v>0</v>
      </c>
      <c r="C662">
        <f>+Tabla2123[[#This Row],[Ky/E]]*$B$641/Tabla2123[[#Totals],[Ky/E]]</f>
        <v>0</v>
      </c>
      <c r="D662" s="35">
        <f t="shared" si="68"/>
        <v>2</v>
      </c>
      <c r="E662" s="35">
        <f t="shared" si="72"/>
        <v>-2.5082971641061604</v>
      </c>
      <c r="F662">
        <f t="shared" si="73"/>
        <v>0</v>
      </c>
      <c r="G662">
        <f t="shared" si="74"/>
        <v>0</v>
      </c>
      <c r="H662">
        <f>+Tabla2123[[#This Row],[Ky/E]]*Tabla2123[[#This Row],[y ̅=y-yCR]]*$B$671/$D$671</f>
        <v>0</v>
      </c>
      <c r="I662">
        <f>+Tabla2123[[#This Row],[Ky/E]]*Tabla2123[[#This Row],[y ̅=y-yCR]]*$B$672/$D$671</f>
        <v>0</v>
      </c>
      <c r="J662" t="e">
        <f>+Tabla19[[#This Row],[(Kx/E)(F1)/(∑Kx/E)]]</f>
        <v>#VALUE!</v>
      </c>
    </row>
    <row r="663" spans="1:10" x14ac:dyDescent="0.3">
      <c r="A663" t="s">
        <v>210</v>
      </c>
      <c r="B663" s="54">
        <f t="shared" si="67"/>
        <v>0</v>
      </c>
      <c r="C663">
        <f>+Tabla2123[[#This Row],[Ky/E]]*$B$641/Tabla2123[[#Totals],[Ky/E]]</f>
        <v>0</v>
      </c>
      <c r="D663" s="35">
        <f t="shared" si="68"/>
        <v>2.8875000000000002</v>
      </c>
      <c r="E663" s="35">
        <f t="shared" si="72"/>
        <v>-1.6207971641061603</v>
      </c>
      <c r="F663">
        <f t="shared" si="73"/>
        <v>0</v>
      </c>
      <c r="G663">
        <f t="shared" si="74"/>
        <v>0</v>
      </c>
      <c r="H663">
        <f>+Tabla2123[[#This Row],[Ky/E]]*Tabla2123[[#This Row],[y ̅=y-yCR]]*$B$671/$D$671</f>
        <v>0</v>
      </c>
      <c r="I663">
        <f>+Tabla2123[[#This Row],[Ky/E]]*Tabla2123[[#This Row],[y ̅=y-yCR]]*$B$672/$D$671</f>
        <v>0</v>
      </c>
      <c r="J663" t="e">
        <f>+Tabla19[[#This Row],[(Kx/E)(F1)/(∑Kx/E)]]</f>
        <v>#VALUE!</v>
      </c>
    </row>
    <row r="664" spans="1:10" x14ac:dyDescent="0.3">
      <c r="A664" t="s">
        <v>211</v>
      </c>
      <c r="B664" s="54">
        <f t="shared" si="67"/>
        <v>0</v>
      </c>
      <c r="C664">
        <f>+Tabla2123[[#This Row],[Ky/E]]*$B$641/Tabla2123[[#Totals],[Ky/E]]</f>
        <v>0</v>
      </c>
      <c r="D664" s="35">
        <f t="shared" si="68"/>
        <v>6.0750000000000002</v>
      </c>
      <c r="E664" s="35">
        <f t="shared" si="72"/>
        <v>1.5667028358938397</v>
      </c>
      <c r="F664">
        <f t="shared" si="73"/>
        <v>0</v>
      </c>
      <c r="G664">
        <f t="shared" si="74"/>
        <v>0</v>
      </c>
      <c r="H664">
        <f>+Tabla2123[[#This Row],[Ky/E]]*Tabla2123[[#This Row],[y ̅=y-yCR]]*$B$671/$D$671</f>
        <v>0</v>
      </c>
      <c r="I664">
        <f>+Tabla2123[[#This Row],[Ky/E]]*Tabla2123[[#This Row],[y ̅=y-yCR]]*$B$672/$D$671</f>
        <v>0</v>
      </c>
      <c r="J664" t="e">
        <f>+Tabla19[[#This Row],[(Kx/E)(F1)/(∑Kx/E)]]</f>
        <v>#VALUE!</v>
      </c>
    </row>
    <row r="665" spans="1:10" x14ac:dyDescent="0.3">
      <c r="A665" t="s">
        <v>212</v>
      </c>
      <c r="B665" s="54">
        <f t="shared" si="67"/>
        <v>0</v>
      </c>
      <c r="C665">
        <f>+Tabla2123[[#This Row],[Ky/E]]*$B$641/Tabla2123[[#Totals],[Ky/E]]</f>
        <v>0</v>
      </c>
      <c r="D665" s="35">
        <f t="shared" si="68"/>
        <v>3.9249999999999998</v>
      </c>
      <c r="E665" s="35">
        <f t="shared" si="72"/>
        <v>-0.58329716410616061</v>
      </c>
      <c r="F665">
        <f t="shared" si="73"/>
        <v>0</v>
      </c>
      <c r="G665">
        <f t="shared" si="74"/>
        <v>0</v>
      </c>
      <c r="H665">
        <f>+Tabla2123[[#This Row],[Ky/E]]*Tabla2123[[#This Row],[y ̅=y-yCR]]*$B$671/$D$671</f>
        <v>0</v>
      </c>
      <c r="I665">
        <f>+Tabla2123[[#This Row],[Ky/E]]*Tabla2123[[#This Row],[y ̅=y-yCR]]*$B$672/$D$671</f>
        <v>0</v>
      </c>
      <c r="J665" t="e">
        <f>+Tabla19[[#This Row],[(Kx/E)(F1)/(∑Kx/E)]]</f>
        <v>#VALUE!</v>
      </c>
    </row>
    <row r="666" spans="1:10" x14ac:dyDescent="0.3">
      <c r="A666" t="s">
        <v>213</v>
      </c>
      <c r="B666" s="54">
        <f t="shared" si="67"/>
        <v>0</v>
      </c>
      <c r="C666">
        <f>+Tabla2123[[#This Row],[Ky/E]]*$B$641/Tabla2123[[#Totals],[Ky/E]]</f>
        <v>0</v>
      </c>
      <c r="D666" s="35">
        <f t="shared" si="68"/>
        <v>8</v>
      </c>
      <c r="E666" s="35">
        <f t="shared" si="72"/>
        <v>3.4917028358938396</v>
      </c>
      <c r="F666">
        <f t="shared" si="73"/>
        <v>0</v>
      </c>
      <c r="G666">
        <f t="shared" si="74"/>
        <v>0</v>
      </c>
      <c r="H666">
        <f>+Tabla2123[[#This Row],[Ky/E]]*Tabla2123[[#This Row],[y ̅=y-yCR]]*$B$671/$D$671</f>
        <v>0</v>
      </c>
      <c r="I666">
        <f>+Tabla2123[[#This Row],[Ky/E]]*Tabla2123[[#This Row],[y ̅=y-yCR]]*$B$672/$D$671</f>
        <v>0</v>
      </c>
      <c r="J666" t="e">
        <f>+Tabla19[[#This Row],[(Kx/E)(F1)/(∑Kx/E)]]</f>
        <v>#VALUE!</v>
      </c>
    </row>
    <row r="667" spans="1:10" x14ac:dyDescent="0.3">
      <c r="A667" t="s">
        <v>214</v>
      </c>
      <c r="B667" s="54">
        <f t="shared" si="67"/>
        <v>0</v>
      </c>
      <c r="C667">
        <f>+Tabla2123[[#This Row],[Ky/E]]*$B$641/Tabla2123[[#Totals],[Ky/E]]</f>
        <v>0</v>
      </c>
      <c r="D667" s="35">
        <f t="shared" si="68"/>
        <v>0</v>
      </c>
      <c r="E667" s="35">
        <f t="shared" si="72"/>
        <v>-4.5082971641061604</v>
      </c>
      <c r="F667">
        <f t="shared" si="73"/>
        <v>0</v>
      </c>
      <c r="G667">
        <f t="shared" si="74"/>
        <v>0</v>
      </c>
      <c r="H667">
        <f>+Tabla2123[[#This Row],[Ky/E]]*Tabla2123[[#This Row],[y ̅=y-yCR]]*$B$671/$D$671</f>
        <v>0</v>
      </c>
      <c r="I667">
        <f>+Tabla2123[[#This Row],[Ky/E]]*Tabla2123[[#This Row],[y ̅=y-yCR]]*$B$672/$D$671</f>
        <v>0</v>
      </c>
      <c r="J667" t="e">
        <f>+Tabla19[[#This Row],[(Kx/E)(F1)/(∑Kx/E)]]</f>
        <v>#VALUE!</v>
      </c>
    </row>
    <row r="668" spans="1:10" x14ac:dyDescent="0.3">
      <c r="A668" t="s">
        <v>15</v>
      </c>
      <c r="B668" s="54">
        <f>SUBTOTAL(109,Tabla2123[Ky/E])</f>
        <v>7.4385360772760839E-2</v>
      </c>
      <c r="G668">
        <f>SUBTOTAL(109,Tabla2123[(K/E)*Ypro2])</f>
        <v>0.57261742318787279</v>
      </c>
      <c r="J668">
        <f>SUBTOTAL(103,Tabla2123[V(final)])</f>
        <v>21</v>
      </c>
    </row>
    <row r="670" spans="1:10" x14ac:dyDescent="0.3">
      <c r="A670" t="s">
        <v>257</v>
      </c>
      <c r="B670">
        <f>+$F$250</f>
        <v>-279.07182643292958</v>
      </c>
    </row>
    <row r="671" spans="1:10" x14ac:dyDescent="0.3">
      <c r="A671" t="s">
        <v>268</v>
      </c>
      <c r="B671">
        <f>+C637</f>
        <v>-3.5579326496857671</v>
      </c>
      <c r="C671" s="36" t="s">
        <v>18</v>
      </c>
      <c r="D671">
        <f>+D642</f>
        <v>1.1193832884974722</v>
      </c>
    </row>
    <row r="672" spans="1:10" x14ac:dyDescent="0.3">
      <c r="A672" t="s">
        <v>269</v>
      </c>
      <c r="B672">
        <f>+C638</f>
        <v>-0.56009407867378758</v>
      </c>
    </row>
    <row r="685" spans="2:3" x14ac:dyDescent="0.3">
      <c r="B685" s="21" t="s">
        <v>271</v>
      </c>
    </row>
    <row r="687" spans="2:3" x14ac:dyDescent="0.3">
      <c r="C687" s="21" t="s">
        <v>272</v>
      </c>
    </row>
    <row r="689" spans="2:5" x14ac:dyDescent="0.3">
      <c r="B689" s="19" t="s">
        <v>236</v>
      </c>
    </row>
    <row r="690" spans="2:5" x14ac:dyDescent="0.3">
      <c r="B690" t="s">
        <v>273</v>
      </c>
      <c r="E690" s="55">
        <f>2400*9*0.25*0.2</f>
        <v>1080</v>
      </c>
    </row>
    <row r="691" spans="2:5" x14ac:dyDescent="0.3">
      <c r="B691" t="s">
        <v>274</v>
      </c>
    </row>
    <row r="692" spans="2:5" x14ac:dyDescent="0.3">
      <c r="C692" t="s">
        <v>275</v>
      </c>
      <c r="D692">
        <f>2*2.55*400</f>
        <v>2039.9999999999998</v>
      </c>
    </row>
    <row r="693" spans="2:5" x14ac:dyDescent="0.3">
      <c r="C693" t="s">
        <v>276</v>
      </c>
      <c r="D693">
        <f>3.55*3.875/2*400</f>
        <v>2751.25</v>
      </c>
    </row>
    <row r="694" spans="2:5" x14ac:dyDescent="0.3">
      <c r="C694" t="s">
        <v>277</v>
      </c>
      <c r="D694">
        <f>2*1.9*400</f>
        <v>1520</v>
      </c>
    </row>
    <row r="695" spans="2:5" x14ac:dyDescent="0.3">
      <c r="D695">
        <f>+SUM(D692:D694)</f>
        <v>6311.25</v>
      </c>
    </row>
    <row r="697" spans="2:5" x14ac:dyDescent="0.3">
      <c r="B697" s="19" t="s">
        <v>246</v>
      </c>
    </row>
    <row r="698" spans="2:5" x14ac:dyDescent="0.3">
      <c r="B698" t="s">
        <v>278</v>
      </c>
      <c r="D698">
        <f>5791.25+1080</f>
        <v>6871.25</v>
      </c>
      <c r="E698" t="s">
        <v>28</v>
      </c>
    </row>
    <row r="699" spans="2:5" x14ac:dyDescent="0.3">
      <c r="B699" t="s">
        <v>279</v>
      </c>
      <c r="D699">
        <f>2*6871.25</f>
        <v>13742.5</v>
      </c>
      <c r="E699" t="s">
        <v>28</v>
      </c>
    </row>
    <row r="700" spans="2:5" x14ac:dyDescent="0.3">
      <c r="B700" t="s">
        <v>280</v>
      </c>
    </row>
    <row r="702" spans="2:5" x14ac:dyDescent="0.3">
      <c r="C702" s="21" t="s">
        <v>281</v>
      </c>
    </row>
    <row r="704" spans="2:5" x14ac:dyDescent="0.3">
      <c r="C704" t="s">
        <v>282</v>
      </c>
      <c r="D704">
        <f>3.55*3.125/2*400</f>
        <v>2218.75</v>
      </c>
    </row>
    <row r="705" spans="2:5" x14ac:dyDescent="0.3">
      <c r="C705" t="s">
        <v>283</v>
      </c>
      <c r="D705">
        <f>1.9*3.25/2*400</f>
        <v>1235</v>
      </c>
    </row>
    <row r="706" spans="2:5" x14ac:dyDescent="0.3">
      <c r="C706" t="s">
        <v>284</v>
      </c>
      <c r="D706">
        <f>3.25/2*2.55*400</f>
        <v>1657.5</v>
      </c>
    </row>
    <row r="707" spans="2:5" x14ac:dyDescent="0.3">
      <c r="D707">
        <f>+SUM(D704:D706)</f>
        <v>5111.25</v>
      </c>
    </row>
    <row r="709" spans="2:5" x14ac:dyDescent="0.3">
      <c r="B709" t="s">
        <v>285</v>
      </c>
      <c r="D709">
        <f>2400*9*0.25*0.2</f>
        <v>1080</v>
      </c>
    </row>
    <row r="710" spans="2:5" x14ac:dyDescent="0.3">
      <c r="B710" t="s">
        <v>286</v>
      </c>
      <c r="D710">
        <f>+D707+D709</f>
        <v>6191.25</v>
      </c>
    </row>
    <row r="712" spans="2:5" x14ac:dyDescent="0.3">
      <c r="B712" t="s">
        <v>287</v>
      </c>
    </row>
    <row r="713" spans="2:5" x14ac:dyDescent="0.3">
      <c r="B713" t="s">
        <v>288</v>
      </c>
      <c r="C713" t="s">
        <v>289</v>
      </c>
      <c r="D713">
        <f>+D710*2</f>
        <v>12382.5</v>
      </c>
      <c r="E713" t="s">
        <v>28</v>
      </c>
    </row>
    <row r="715" spans="2:5" x14ac:dyDescent="0.3">
      <c r="C715" s="21" t="s">
        <v>290</v>
      </c>
    </row>
    <row r="717" spans="2:5" x14ac:dyDescent="0.3">
      <c r="B717" t="s">
        <v>291</v>
      </c>
      <c r="D717">
        <f>2*(2400*2.35*0.25*0.2)</f>
        <v>564</v>
      </c>
    </row>
    <row r="718" spans="2:5" x14ac:dyDescent="0.3">
      <c r="B718" t="s">
        <v>292</v>
      </c>
      <c r="D718">
        <f>2*(400*(2+1.625)*1.9)</f>
        <v>5510</v>
      </c>
    </row>
    <row r="719" spans="2:5" x14ac:dyDescent="0.3">
      <c r="D719">
        <f>+SUM(D717:D718)</f>
        <v>6074</v>
      </c>
    </row>
    <row r="721" spans="2:6" x14ac:dyDescent="0.3">
      <c r="C721" s="21" t="s">
        <v>293</v>
      </c>
    </row>
    <row r="723" spans="2:6" x14ac:dyDescent="0.3">
      <c r="B723" t="s">
        <v>294</v>
      </c>
      <c r="D723">
        <f>2*(2400*1.95*0.25*0.2)</f>
        <v>468</v>
      </c>
    </row>
    <row r="724" spans="2:6" x14ac:dyDescent="0.3">
      <c r="B724" t="s">
        <v>295</v>
      </c>
      <c r="D724">
        <f>2*(400*(2+1.625)*2.55)</f>
        <v>7394.9999999999991</v>
      </c>
    </row>
    <row r="725" spans="2:6" x14ac:dyDescent="0.3">
      <c r="D725">
        <f>+SUM(D723:D724)</f>
        <v>7862.9999999999991</v>
      </c>
    </row>
    <row r="726" spans="2:6" x14ac:dyDescent="0.3">
      <c r="B726" s="21" t="s">
        <v>296</v>
      </c>
    </row>
    <row r="728" spans="2:6" x14ac:dyDescent="0.3">
      <c r="B728" s="21" t="s">
        <v>236</v>
      </c>
    </row>
    <row r="730" spans="2:6" x14ac:dyDescent="0.3">
      <c r="B730" t="s">
        <v>161</v>
      </c>
      <c r="C730" t="s">
        <v>297</v>
      </c>
      <c r="D730" t="s">
        <v>298</v>
      </c>
      <c r="E730" t="s">
        <v>299</v>
      </c>
      <c r="F730" t="s">
        <v>300</v>
      </c>
    </row>
    <row r="731" spans="2:6" x14ac:dyDescent="0.3">
      <c r="B731" t="s">
        <v>169</v>
      </c>
      <c r="C731">
        <v>22500</v>
      </c>
      <c r="D731">
        <v>13742.5</v>
      </c>
      <c r="E731">
        <v>21375</v>
      </c>
      <c r="F731" s="56">
        <f>+IF(Tabla23[[#This Row],[Peso acumulado de losa (P1)(kg)]]="-",Tabla23[[#This Row],[Área acumulada de losa (P2)(kg)]]/Tabla23[[#This Row],[Área(cm2)]],(Tabla23[[#This Row],[Peso acumulado de losa (P1)(kg)]]+Tabla23[[#This Row],[Área acumulada de losa (P2)(kg)]])/Tabla23[[#This Row],[Área(cm2)]])</f>
        <v>1.5607777777777778</v>
      </c>
    </row>
    <row r="732" spans="2:6" x14ac:dyDescent="0.3">
      <c r="B732" t="s">
        <v>170</v>
      </c>
      <c r="C732">
        <v>3750</v>
      </c>
      <c r="D732" t="s">
        <v>301</v>
      </c>
      <c r="E732">
        <v>3376</v>
      </c>
      <c r="F732" s="56">
        <f>+IF(Tabla23[[#This Row],[Peso acumulado de losa (P1)(kg)]]="-",Tabla23[[#This Row],[Área acumulada de losa (P2)(kg)]]/Tabla23[[#This Row],[Área(cm2)]],(Tabla23[[#This Row],[Peso acumulado de losa (P1)(kg)]]+Tabla23[[#This Row],[Área acumulada de losa (P2)(kg)]])/Tabla23[[#This Row],[Área(cm2)]])</f>
        <v>0.90026666666666666</v>
      </c>
    </row>
    <row r="733" spans="2:6" x14ac:dyDescent="0.3">
      <c r="B733" t="s">
        <v>171</v>
      </c>
      <c r="C733">
        <v>2625</v>
      </c>
      <c r="D733" t="s">
        <v>301</v>
      </c>
      <c r="E733">
        <v>1721</v>
      </c>
      <c r="F733" s="56">
        <f>+IF(Tabla23[[#This Row],[Peso acumulado de losa (P1)(kg)]]="-",Tabla23[[#This Row],[Área acumulada de losa (P2)(kg)]]/Tabla23[[#This Row],[Área(cm2)]],(Tabla23[[#This Row],[Peso acumulado de losa (P1)(kg)]]+Tabla23[[#This Row],[Área acumulada de losa (P2)(kg)]])/Tabla23[[#This Row],[Área(cm2)]])</f>
        <v>0.65561904761904766</v>
      </c>
    </row>
    <row r="734" spans="2:6" x14ac:dyDescent="0.3">
      <c r="B734" t="s">
        <v>172</v>
      </c>
      <c r="C734">
        <v>900</v>
      </c>
      <c r="D734" t="s">
        <v>301</v>
      </c>
      <c r="E734">
        <v>810</v>
      </c>
      <c r="F734" s="56">
        <f>+IF(Tabla23[[#This Row],[Peso acumulado de losa (P1)(kg)]]="-",Tabla23[[#This Row],[Área acumulada de losa (P2)(kg)]]/Tabla23[[#This Row],[Área(cm2)]],(Tabla23[[#This Row],[Peso acumulado de losa (P1)(kg)]]+Tabla23[[#This Row],[Área acumulada de losa (P2)(kg)]])/Tabla23[[#This Row],[Área(cm2)]])</f>
        <v>0.9</v>
      </c>
    </row>
    <row r="735" spans="2:6" x14ac:dyDescent="0.3">
      <c r="B735" t="s">
        <v>173</v>
      </c>
      <c r="C735">
        <v>22500</v>
      </c>
      <c r="D735">
        <v>12382.5</v>
      </c>
      <c r="E735">
        <v>21375</v>
      </c>
      <c r="F735" s="56">
        <f>+IF(Tabla23[[#This Row],[Peso acumulado de losa (P1)(kg)]]="-",Tabla23[[#This Row],[Área acumulada de losa (P2)(kg)]]/Tabla23[[#This Row],[Área(cm2)]],(Tabla23[[#This Row],[Peso acumulado de losa (P1)(kg)]]+Tabla23[[#This Row],[Área acumulada de losa (P2)(kg)]])/Tabla23[[#This Row],[Área(cm2)]])</f>
        <v>1.5003333333333333</v>
      </c>
    </row>
    <row r="736" spans="2:6" x14ac:dyDescent="0.3">
      <c r="B736" t="s">
        <v>174</v>
      </c>
      <c r="C736">
        <v>1425</v>
      </c>
      <c r="D736" t="s">
        <v>301</v>
      </c>
      <c r="E736">
        <v>641</v>
      </c>
      <c r="F736" s="56">
        <f>+IF(Tabla23[[#This Row],[Peso acumulado de losa (P1)(kg)]]="-",Tabla23[[#This Row],[Área acumulada de losa (P2)(kg)]]/Tabla23[[#This Row],[Área(cm2)]],(Tabla23[[#This Row],[Peso acumulado de losa (P1)(kg)]]+Tabla23[[#This Row],[Área acumulada de losa (P2)(kg)]])/Tabla23[[#This Row],[Área(cm2)]])</f>
        <v>0.44982456140350879</v>
      </c>
    </row>
    <row r="737" spans="2:6" x14ac:dyDescent="0.3">
      <c r="B737" t="s">
        <v>175</v>
      </c>
      <c r="C737">
        <v>1350</v>
      </c>
      <c r="D737" t="s">
        <v>301</v>
      </c>
      <c r="E737">
        <v>535</v>
      </c>
      <c r="F737" s="56">
        <f>+IF(Tabla23[[#This Row],[Peso acumulado de losa (P1)(kg)]]="-",Tabla23[[#This Row],[Área acumulada de losa (P2)(kg)]]/Tabla23[[#This Row],[Área(cm2)]],(Tabla23[[#This Row],[Peso acumulado de losa (P1)(kg)]]+Tabla23[[#This Row],[Área acumulada de losa (P2)(kg)]])/Tabla23[[#This Row],[Área(cm2)]])</f>
        <v>0.39629629629629631</v>
      </c>
    </row>
    <row r="738" spans="2:6" x14ac:dyDescent="0.3">
      <c r="B738" t="s">
        <v>176</v>
      </c>
      <c r="C738">
        <v>3225</v>
      </c>
      <c r="D738" t="s">
        <v>301</v>
      </c>
      <c r="E738">
        <v>1451</v>
      </c>
      <c r="F738" s="56">
        <f>+IF(Tabla23[[#This Row],[Peso acumulado de losa (P1)(kg)]]="-",Tabla23[[#This Row],[Área acumulada de losa (P2)(kg)]]/Tabla23[[#This Row],[Área(cm2)]],(Tabla23[[#This Row],[Peso acumulado de losa (P1)(kg)]]+Tabla23[[#This Row],[Área acumulada de losa (P2)(kg)]])/Tabla23[[#This Row],[Área(cm2)]])</f>
        <v>0.44992248062015505</v>
      </c>
    </row>
    <row r="739" spans="2:6" x14ac:dyDescent="0.3">
      <c r="B739" t="s">
        <v>177</v>
      </c>
      <c r="C739">
        <v>5375</v>
      </c>
      <c r="D739">
        <v>6074</v>
      </c>
      <c r="E739">
        <v>2419</v>
      </c>
      <c r="F739" s="56">
        <f>+IF(Tabla23[[#This Row],[Peso acumulado de losa (P1)(kg)]]="-",Tabla23[[#This Row],[Área acumulada de losa (P2)(kg)]]/Tabla23[[#This Row],[Área(cm2)]],(Tabla23[[#This Row],[Peso acumulado de losa (P1)(kg)]]+Tabla23[[#This Row],[Área acumulada de losa (P2)(kg)]])/Tabla23[[#This Row],[Área(cm2)]])</f>
        <v>1.5800930232558139</v>
      </c>
    </row>
    <row r="740" spans="2:6" x14ac:dyDescent="0.3">
      <c r="B740" t="s">
        <v>178</v>
      </c>
      <c r="C740">
        <v>5375</v>
      </c>
      <c r="D740">
        <v>7863</v>
      </c>
      <c r="E740">
        <v>3769</v>
      </c>
      <c r="F740" s="56">
        <f>+IF(Tabla23[[#This Row],[Peso acumulado de losa (P1)(kg)]]="-",Tabla23[[#This Row],[Área acumulada de losa (P2)(kg)]]/Tabla23[[#This Row],[Área(cm2)]],(Tabla23[[#This Row],[Peso acumulado de losa (P1)(kg)]]+Tabla23[[#This Row],[Área acumulada de losa (P2)(kg)]])/Tabla23[[#This Row],[Área(cm2)]])</f>
        <v>2.164093023255814</v>
      </c>
    </row>
    <row r="742" spans="2:6" x14ac:dyDescent="0.3">
      <c r="B742" t="s">
        <v>161</v>
      </c>
      <c r="C742" t="s">
        <v>297</v>
      </c>
      <c r="D742" t="s">
        <v>298</v>
      </c>
      <c r="E742" t="s">
        <v>299</v>
      </c>
      <c r="F742" t="s">
        <v>300</v>
      </c>
    </row>
    <row r="743" spans="2:6" x14ac:dyDescent="0.3">
      <c r="B743" t="s">
        <v>169</v>
      </c>
      <c r="C743">
        <v>25000</v>
      </c>
      <c r="D743">
        <v>6871.25</v>
      </c>
      <c r="E743">
        <v>11250</v>
      </c>
      <c r="F743" s="35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0.72484999999999999</v>
      </c>
    </row>
    <row r="744" spans="2:6" x14ac:dyDescent="0.3">
      <c r="B744" t="s">
        <v>170</v>
      </c>
      <c r="C744">
        <v>1350</v>
      </c>
      <c r="D744" t="s">
        <v>301</v>
      </c>
      <c r="E744">
        <v>608</v>
      </c>
      <c r="F744" s="35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0.45037037037037037</v>
      </c>
    </row>
    <row r="745" spans="2:6" x14ac:dyDescent="0.3">
      <c r="B745" t="s">
        <v>171</v>
      </c>
      <c r="C745">
        <v>1650</v>
      </c>
      <c r="D745" t="s">
        <v>301</v>
      </c>
      <c r="E745">
        <v>743</v>
      </c>
      <c r="F745" s="35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0.45030303030303032</v>
      </c>
    </row>
    <row r="746" spans="2:6" x14ac:dyDescent="0.3">
      <c r="B746" t="s">
        <v>172</v>
      </c>
      <c r="C746">
        <v>1875</v>
      </c>
      <c r="D746" t="s">
        <v>301</v>
      </c>
      <c r="E746">
        <v>844</v>
      </c>
      <c r="F746" s="35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0.45013333333333333</v>
      </c>
    </row>
    <row r="747" spans="2:6" x14ac:dyDescent="0.3">
      <c r="B747" t="s">
        <v>173</v>
      </c>
      <c r="C747">
        <v>25000</v>
      </c>
      <c r="D747">
        <v>6191.25</v>
      </c>
      <c r="E747">
        <v>11250</v>
      </c>
      <c r="F747" s="35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0.69764999999999999</v>
      </c>
    </row>
    <row r="748" spans="2:6" x14ac:dyDescent="0.3">
      <c r="B748" t="s">
        <v>174</v>
      </c>
      <c r="C748">
        <v>1875</v>
      </c>
      <c r="D748" t="s">
        <v>301</v>
      </c>
      <c r="E748">
        <v>544</v>
      </c>
      <c r="F748" s="35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0.29013333333333335</v>
      </c>
    </row>
    <row r="749" spans="2:6" x14ac:dyDescent="0.3">
      <c r="B749" t="s">
        <v>175</v>
      </c>
      <c r="C749">
        <v>1650</v>
      </c>
      <c r="D749" t="s">
        <v>301</v>
      </c>
      <c r="E749">
        <v>743</v>
      </c>
      <c r="F749" s="35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0.45030303030303032</v>
      </c>
    </row>
    <row r="750" spans="2:6" x14ac:dyDescent="0.3">
      <c r="B750" t="s">
        <v>176</v>
      </c>
      <c r="C750">
        <v>1350</v>
      </c>
      <c r="D750" t="s">
        <v>301</v>
      </c>
      <c r="E750">
        <v>608</v>
      </c>
      <c r="F750" s="35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0.45037037037037037</v>
      </c>
    </row>
    <row r="751" spans="2:6" x14ac:dyDescent="0.3">
      <c r="B751" t="s">
        <v>177</v>
      </c>
      <c r="C751">
        <v>3750</v>
      </c>
      <c r="D751" t="s">
        <v>301</v>
      </c>
      <c r="E751">
        <v>1688</v>
      </c>
      <c r="F751" s="35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0.45013333333333333</v>
      </c>
    </row>
    <row r="752" spans="2:6" x14ac:dyDescent="0.3">
      <c r="B752" t="s">
        <v>178</v>
      </c>
      <c r="C752">
        <v>3750</v>
      </c>
      <c r="D752" t="s">
        <v>301</v>
      </c>
      <c r="E752">
        <v>1688</v>
      </c>
      <c r="F752" s="35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0.45013333333333333</v>
      </c>
    </row>
    <row r="753" spans="2:6" x14ac:dyDescent="0.3">
      <c r="B753" t="s">
        <v>204</v>
      </c>
      <c r="C753">
        <v>5178.5</v>
      </c>
      <c r="D753">
        <v>3008.75</v>
      </c>
      <c r="E753">
        <v>2334</v>
      </c>
      <c r="F753" s="35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1.0317176788645361</v>
      </c>
    </row>
    <row r="754" spans="2:6" x14ac:dyDescent="0.3">
      <c r="B754" t="s">
        <v>205</v>
      </c>
      <c r="C754">
        <v>3525</v>
      </c>
      <c r="D754" t="s">
        <v>301</v>
      </c>
      <c r="E754">
        <v>1586</v>
      </c>
      <c r="F754" s="35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0.44992907801418441</v>
      </c>
    </row>
    <row r="755" spans="2:6" x14ac:dyDescent="0.3">
      <c r="B755" t="s">
        <v>206</v>
      </c>
      <c r="C755">
        <v>3525</v>
      </c>
      <c r="D755" t="s">
        <v>301</v>
      </c>
      <c r="E755">
        <v>1586</v>
      </c>
      <c r="F755" s="35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0.44992907801418441</v>
      </c>
    </row>
    <row r="756" spans="2:6" x14ac:dyDescent="0.3">
      <c r="B756" t="s">
        <v>207</v>
      </c>
      <c r="C756">
        <v>5187.5</v>
      </c>
      <c r="D756">
        <v>3008.75</v>
      </c>
      <c r="E756">
        <v>2334</v>
      </c>
      <c r="F756" s="35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1.0299277108433735</v>
      </c>
    </row>
    <row r="757" spans="2:6" x14ac:dyDescent="0.3">
      <c r="B757" t="s">
        <v>208</v>
      </c>
      <c r="C757">
        <v>2887.5</v>
      </c>
      <c r="D757" t="s">
        <v>301</v>
      </c>
      <c r="E757">
        <v>1299</v>
      </c>
      <c r="F757" s="35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0.44987012987012986</v>
      </c>
    </row>
    <row r="758" spans="2:6" x14ac:dyDescent="0.3">
      <c r="B758" t="s">
        <v>209</v>
      </c>
      <c r="C758">
        <v>1650</v>
      </c>
      <c r="D758" t="s">
        <v>301</v>
      </c>
      <c r="E758">
        <v>743</v>
      </c>
      <c r="F758" s="35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0.45030303030303032</v>
      </c>
    </row>
    <row r="759" spans="2:6" x14ac:dyDescent="0.3">
      <c r="B759" t="s">
        <v>210</v>
      </c>
      <c r="C759">
        <v>675</v>
      </c>
      <c r="D759" t="s">
        <v>301</v>
      </c>
      <c r="E759">
        <v>304</v>
      </c>
      <c r="F759" s="35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0.45037037037037037</v>
      </c>
    </row>
    <row r="760" spans="2:6" x14ac:dyDescent="0.3">
      <c r="B760" t="s">
        <v>211</v>
      </c>
      <c r="C760">
        <v>2887.5</v>
      </c>
      <c r="D760" t="s">
        <v>301</v>
      </c>
      <c r="E760">
        <v>1299</v>
      </c>
      <c r="F760" s="35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0.44987012987012986</v>
      </c>
    </row>
    <row r="761" spans="2:6" x14ac:dyDescent="0.3">
      <c r="B761" t="s">
        <v>212</v>
      </c>
      <c r="C761">
        <v>1275</v>
      </c>
      <c r="D761" t="s">
        <v>301</v>
      </c>
      <c r="E761">
        <v>574</v>
      </c>
      <c r="F761" s="35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0.45019607843137255</v>
      </c>
    </row>
    <row r="762" spans="2:6" x14ac:dyDescent="0.3">
      <c r="B762" t="s">
        <v>213</v>
      </c>
      <c r="C762">
        <v>1275</v>
      </c>
      <c r="D762" t="s">
        <v>301</v>
      </c>
      <c r="E762">
        <v>574</v>
      </c>
      <c r="F762" s="35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0.45019607843137255</v>
      </c>
    </row>
    <row r="763" spans="2:6" x14ac:dyDescent="0.3">
      <c r="B763" t="s">
        <v>214</v>
      </c>
      <c r="C763">
        <v>675</v>
      </c>
      <c r="D763" t="s">
        <v>301</v>
      </c>
      <c r="E763">
        <v>304</v>
      </c>
      <c r="F763" s="35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0.45037037037037037</v>
      </c>
    </row>
    <row r="778" spans="1:6" x14ac:dyDescent="0.3">
      <c r="B778" s="19" t="s">
        <v>236</v>
      </c>
    </row>
    <row r="779" spans="1:6" x14ac:dyDescent="0.3">
      <c r="A779" s="28" t="s">
        <v>161</v>
      </c>
      <c r="B779" s="28" t="s">
        <v>302</v>
      </c>
      <c r="C779" s="28" t="s">
        <v>160</v>
      </c>
      <c r="D779" s="28"/>
      <c r="E779" s="28" t="s">
        <v>160</v>
      </c>
      <c r="F779" s="28"/>
    </row>
    <row r="780" spans="1:6" x14ac:dyDescent="0.3">
      <c r="A780" s="28"/>
      <c r="B780" s="28"/>
      <c r="C780" s="28" t="s">
        <v>303</v>
      </c>
      <c r="D780" s="28" t="s">
        <v>304</v>
      </c>
      <c r="E780" s="28" t="s">
        <v>303</v>
      </c>
      <c r="F780" s="28" t="s">
        <v>304</v>
      </c>
    </row>
    <row r="781" spans="1:6" x14ac:dyDescent="0.3">
      <c r="A781" s="28" t="s">
        <v>169</v>
      </c>
      <c r="B781" s="28"/>
      <c r="C781" s="28"/>
      <c r="D781" s="28"/>
      <c r="E781" s="28"/>
      <c r="F781" s="28"/>
    </row>
    <row r="782" spans="1:6" x14ac:dyDescent="0.3">
      <c r="A782" s="28" t="s">
        <v>170</v>
      </c>
      <c r="B782" s="28"/>
      <c r="C782" s="28"/>
      <c r="D782" s="28"/>
      <c r="E782" s="28"/>
      <c r="F782" s="28"/>
    </row>
    <row r="783" spans="1:6" x14ac:dyDescent="0.3">
      <c r="A783" s="28" t="s">
        <v>171</v>
      </c>
      <c r="B783" s="28"/>
      <c r="C783" s="28"/>
      <c r="D783" s="28"/>
      <c r="E783" s="28"/>
      <c r="F783" s="28"/>
    </row>
    <row r="784" spans="1:6" x14ac:dyDescent="0.3">
      <c r="A784" s="28" t="s">
        <v>172</v>
      </c>
      <c r="B784" s="28"/>
      <c r="C784" s="28"/>
      <c r="D784" s="28"/>
      <c r="E784" s="28"/>
      <c r="F784" s="28"/>
    </row>
    <row r="785" spans="1:6" x14ac:dyDescent="0.3">
      <c r="A785" s="28" t="s">
        <v>173</v>
      </c>
      <c r="B785" s="28"/>
      <c r="C785" s="28"/>
      <c r="D785" s="28"/>
      <c r="E785" s="28"/>
      <c r="F785" s="28"/>
    </row>
    <row r="786" spans="1:6" x14ac:dyDescent="0.3">
      <c r="A786" s="28" t="s">
        <v>174</v>
      </c>
      <c r="B786" s="28"/>
      <c r="C786" s="28"/>
      <c r="D786" s="28"/>
      <c r="E786" s="28"/>
      <c r="F786" s="28"/>
    </row>
    <row r="787" spans="1:6" x14ac:dyDescent="0.3">
      <c r="A787" s="28" t="s">
        <v>175</v>
      </c>
      <c r="B787" s="28"/>
      <c r="C787" s="28"/>
      <c r="D787" s="28"/>
      <c r="E787" s="28"/>
      <c r="F787" s="28"/>
    </row>
    <row r="788" spans="1:6" x14ac:dyDescent="0.3">
      <c r="A788" s="28" t="s">
        <v>176</v>
      </c>
      <c r="B788" s="28"/>
      <c r="C788" s="28"/>
      <c r="D788" s="28"/>
      <c r="E788" s="28"/>
      <c r="F788" s="28"/>
    </row>
    <row r="789" spans="1:6" x14ac:dyDescent="0.3">
      <c r="A789" s="28" t="s">
        <v>177</v>
      </c>
      <c r="B789" s="28"/>
      <c r="C789" s="28"/>
      <c r="D789" s="28"/>
      <c r="E789" s="28"/>
      <c r="F789" s="28"/>
    </row>
    <row r="790" spans="1:6" x14ac:dyDescent="0.3">
      <c r="A790" s="28" t="s">
        <v>178</v>
      </c>
      <c r="B790" s="28"/>
      <c r="C790" s="28"/>
      <c r="D790" s="28"/>
      <c r="E790" s="28"/>
      <c r="F790" s="28"/>
    </row>
    <row r="792" spans="1:6" x14ac:dyDescent="0.3">
      <c r="B792" s="19" t="s">
        <v>246</v>
      </c>
    </row>
    <row r="793" spans="1:6" x14ac:dyDescent="0.3">
      <c r="A793" s="28" t="s">
        <v>161</v>
      </c>
      <c r="B793" s="28" t="s">
        <v>302</v>
      </c>
      <c r="C793" s="28" t="s">
        <v>160</v>
      </c>
      <c r="D793" s="28"/>
      <c r="E793" s="28" t="s">
        <v>160</v>
      </c>
      <c r="F793" s="28"/>
    </row>
    <row r="794" spans="1:6" x14ac:dyDescent="0.3">
      <c r="A794" s="28"/>
      <c r="B794" s="28"/>
      <c r="C794" s="28" t="s">
        <v>303</v>
      </c>
      <c r="D794" s="28" t="s">
        <v>304</v>
      </c>
      <c r="E794" s="28" t="s">
        <v>303</v>
      </c>
      <c r="F794" s="28" t="s">
        <v>304</v>
      </c>
    </row>
    <row r="795" spans="1:6" x14ac:dyDescent="0.3">
      <c r="A795" s="57" t="s">
        <v>169</v>
      </c>
      <c r="B795" s="28"/>
      <c r="C795" s="28"/>
      <c r="D795" s="28"/>
      <c r="E795" s="28"/>
      <c r="F795" s="28"/>
    </row>
    <row r="796" spans="1:6" x14ac:dyDescent="0.3">
      <c r="A796" s="28" t="s">
        <v>170</v>
      </c>
      <c r="B796" s="28"/>
      <c r="C796" s="28"/>
      <c r="D796" s="28"/>
      <c r="E796" s="28"/>
      <c r="F796" s="28"/>
    </row>
    <row r="797" spans="1:6" x14ac:dyDescent="0.3">
      <c r="A797" s="57" t="s">
        <v>171</v>
      </c>
      <c r="B797" s="28"/>
      <c r="C797" s="28"/>
      <c r="D797" s="28"/>
      <c r="E797" s="28"/>
      <c r="F797" s="28"/>
    </row>
    <row r="798" spans="1:6" x14ac:dyDescent="0.3">
      <c r="A798" s="28" t="s">
        <v>172</v>
      </c>
      <c r="B798" s="28"/>
      <c r="C798" s="28"/>
      <c r="D798" s="28"/>
      <c r="E798" s="28"/>
      <c r="F798" s="28"/>
    </row>
    <row r="799" spans="1:6" x14ac:dyDescent="0.3">
      <c r="A799" s="57" t="s">
        <v>173</v>
      </c>
      <c r="B799" s="28"/>
      <c r="C799" s="28"/>
      <c r="D799" s="28"/>
      <c r="E799" s="28"/>
      <c r="F799" s="28"/>
    </row>
    <row r="800" spans="1:6" x14ac:dyDescent="0.3">
      <c r="A800" s="28" t="s">
        <v>174</v>
      </c>
      <c r="B800" s="28"/>
      <c r="C800" s="28"/>
      <c r="D800" s="28"/>
      <c r="E800" s="28"/>
      <c r="F800" s="28"/>
    </row>
    <row r="801" spans="1:6" x14ac:dyDescent="0.3">
      <c r="A801" s="57" t="s">
        <v>175</v>
      </c>
      <c r="B801" s="28"/>
      <c r="C801" s="28"/>
      <c r="D801" s="28"/>
      <c r="E801" s="28"/>
      <c r="F801" s="28"/>
    </row>
    <row r="802" spans="1:6" x14ac:dyDescent="0.3">
      <c r="A802" s="28" t="s">
        <v>176</v>
      </c>
      <c r="B802" s="28"/>
      <c r="C802" s="28"/>
      <c r="D802" s="28"/>
      <c r="E802" s="28"/>
      <c r="F802" s="28"/>
    </row>
    <row r="803" spans="1:6" x14ac:dyDescent="0.3">
      <c r="A803" s="57" t="s">
        <v>177</v>
      </c>
      <c r="B803" s="28"/>
      <c r="C803" s="28"/>
      <c r="D803" s="28"/>
      <c r="E803" s="28"/>
      <c r="F803" s="28"/>
    </row>
    <row r="804" spans="1:6" x14ac:dyDescent="0.3">
      <c r="A804" s="28" t="s">
        <v>178</v>
      </c>
      <c r="B804" s="28"/>
      <c r="C804" s="28"/>
      <c r="D804" s="28"/>
      <c r="E804" s="28"/>
      <c r="F804" s="28"/>
    </row>
    <row r="805" spans="1:6" x14ac:dyDescent="0.3">
      <c r="A805" s="57" t="s">
        <v>204</v>
      </c>
      <c r="B805" s="28"/>
      <c r="C805" s="28"/>
      <c r="D805" s="28"/>
      <c r="E805" s="28"/>
      <c r="F805" s="28"/>
    </row>
    <row r="806" spans="1:6" x14ac:dyDescent="0.3">
      <c r="A806" s="28" t="s">
        <v>205</v>
      </c>
      <c r="B806" s="28"/>
      <c r="C806" s="28"/>
      <c r="D806" s="28"/>
      <c r="E806" s="28"/>
      <c r="F806" s="28"/>
    </row>
    <row r="807" spans="1:6" x14ac:dyDescent="0.3">
      <c r="A807" s="57" t="s">
        <v>206</v>
      </c>
      <c r="B807" s="28"/>
      <c r="C807" s="28"/>
      <c r="D807" s="28"/>
      <c r="E807" s="28"/>
      <c r="F807" s="28"/>
    </row>
    <row r="808" spans="1:6" x14ac:dyDescent="0.3">
      <c r="A808" s="28" t="s">
        <v>207</v>
      </c>
      <c r="B808" s="28"/>
      <c r="C808" s="28"/>
      <c r="D808" s="28"/>
      <c r="E808" s="28"/>
      <c r="F808" s="28"/>
    </row>
    <row r="809" spans="1:6" x14ac:dyDescent="0.3">
      <c r="A809" s="57" t="s">
        <v>208</v>
      </c>
      <c r="B809" s="28"/>
      <c r="C809" s="28"/>
      <c r="D809" s="28"/>
      <c r="E809" s="28"/>
      <c r="F809" s="28"/>
    </row>
    <row r="810" spans="1:6" x14ac:dyDescent="0.3">
      <c r="A810" s="28" t="s">
        <v>209</v>
      </c>
      <c r="B810" s="28"/>
      <c r="C810" s="28"/>
      <c r="D810" s="28"/>
      <c r="E810" s="28"/>
      <c r="F810" s="28"/>
    </row>
    <row r="811" spans="1:6" x14ac:dyDescent="0.3">
      <c r="A811" s="57" t="s">
        <v>210</v>
      </c>
      <c r="B811" s="28"/>
      <c r="C811" s="28"/>
      <c r="D811" s="28"/>
      <c r="E811" s="28"/>
      <c r="F811" s="28"/>
    </row>
    <row r="812" spans="1:6" x14ac:dyDescent="0.3">
      <c r="A812" s="28" t="s">
        <v>211</v>
      </c>
      <c r="B812" s="28"/>
      <c r="C812" s="28"/>
      <c r="D812" s="28"/>
      <c r="E812" s="28"/>
      <c r="F812" s="28"/>
    </row>
    <row r="813" spans="1:6" x14ac:dyDescent="0.3">
      <c r="A813" s="57" t="s">
        <v>212</v>
      </c>
      <c r="B813" s="28"/>
      <c r="C813" s="28"/>
      <c r="D813" s="28"/>
      <c r="E813" s="28"/>
      <c r="F813" s="28"/>
    </row>
    <row r="814" spans="1:6" x14ac:dyDescent="0.3">
      <c r="A814" s="28" t="s">
        <v>213</v>
      </c>
      <c r="B814" s="28"/>
      <c r="C814" s="28"/>
      <c r="D814" s="28"/>
      <c r="E814" s="28"/>
      <c r="F814" s="28"/>
    </row>
    <row r="815" spans="1:6" x14ac:dyDescent="0.3">
      <c r="A815" s="57" t="s">
        <v>214</v>
      </c>
      <c r="B815" s="28"/>
      <c r="C815" s="28"/>
      <c r="D815" s="28"/>
      <c r="E815" s="28"/>
      <c r="F815" s="28"/>
    </row>
    <row r="817" spans="1:5" x14ac:dyDescent="0.3">
      <c r="B817" s="19" t="s">
        <v>236</v>
      </c>
    </row>
    <row r="818" spans="1:5" x14ac:dyDescent="0.3">
      <c r="A818" s="28" t="s">
        <v>161</v>
      </c>
      <c r="B818" s="28" t="s">
        <v>305</v>
      </c>
      <c r="C818" s="28" t="s">
        <v>306</v>
      </c>
      <c r="D818" s="28" t="s">
        <v>307</v>
      </c>
      <c r="E818" s="28" t="s">
        <v>308</v>
      </c>
    </row>
    <row r="819" spans="1:5" x14ac:dyDescent="0.3">
      <c r="A819" s="28" t="s">
        <v>169</v>
      </c>
      <c r="B819" s="28"/>
      <c r="C819" s="28"/>
      <c r="D819" s="28"/>
      <c r="E819" s="28"/>
    </row>
    <row r="820" spans="1:5" x14ac:dyDescent="0.3">
      <c r="A820" s="28" t="s">
        <v>170</v>
      </c>
      <c r="B820" s="28"/>
      <c r="C820" s="28"/>
      <c r="D820" s="28"/>
      <c r="E820" s="28"/>
    </row>
    <row r="821" spans="1:5" x14ac:dyDescent="0.3">
      <c r="A821" s="28" t="s">
        <v>171</v>
      </c>
      <c r="B821" s="28"/>
      <c r="C821" s="28"/>
      <c r="D821" s="28"/>
      <c r="E821" s="28"/>
    </row>
    <row r="822" spans="1:5" x14ac:dyDescent="0.3">
      <c r="A822" s="28" t="s">
        <v>172</v>
      </c>
      <c r="B822" s="28"/>
      <c r="C822" s="28"/>
      <c r="D822" s="28"/>
      <c r="E822" s="28"/>
    </row>
    <row r="823" spans="1:5" x14ac:dyDescent="0.3">
      <c r="A823" s="28" t="s">
        <v>173</v>
      </c>
      <c r="B823" s="28"/>
      <c r="C823" s="28"/>
      <c r="D823" s="28"/>
      <c r="E823" s="28"/>
    </row>
    <row r="824" spans="1:5" x14ac:dyDescent="0.3">
      <c r="A824" s="28" t="s">
        <v>174</v>
      </c>
      <c r="B824" s="28"/>
      <c r="C824" s="28"/>
      <c r="D824" s="28"/>
      <c r="E824" s="28"/>
    </row>
    <row r="825" spans="1:5" x14ac:dyDescent="0.3">
      <c r="A825" s="28" t="s">
        <v>175</v>
      </c>
      <c r="B825" s="28"/>
      <c r="C825" s="28"/>
      <c r="D825" s="28"/>
      <c r="E825" s="28"/>
    </row>
    <row r="826" spans="1:5" x14ac:dyDescent="0.3">
      <c r="A826" s="28" t="s">
        <v>176</v>
      </c>
      <c r="B826" s="28"/>
      <c r="C826" s="28"/>
      <c r="D826" s="28"/>
      <c r="E826" s="28"/>
    </row>
    <row r="827" spans="1:5" x14ac:dyDescent="0.3">
      <c r="A827" s="28" t="s">
        <v>177</v>
      </c>
      <c r="B827" s="28"/>
      <c r="C827" s="28"/>
      <c r="D827" s="28"/>
      <c r="E827" s="28"/>
    </row>
    <row r="828" spans="1:5" x14ac:dyDescent="0.3">
      <c r="A828" s="28" t="s">
        <v>178</v>
      </c>
      <c r="B828" s="28"/>
      <c r="C828" s="28"/>
      <c r="D828" s="28"/>
      <c r="E828" s="28"/>
    </row>
    <row r="830" spans="1:5" x14ac:dyDescent="0.3">
      <c r="B830" s="19" t="s">
        <v>246</v>
      </c>
    </row>
    <row r="831" spans="1:5" x14ac:dyDescent="0.3">
      <c r="A831" s="28" t="s">
        <v>161</v>
      </c>
      <c r="B831" s="28" t="s">
        <v>305</v>
      </c>
      <c r="C831" s="28" t="s">
        <v>306</v>
      </c>
      <c r="D831" s="28" t="s">
        <v>307</v>
      </c>
      <c r="E831" s="28" t="s">
        <v>308</v>
      </c>
    </row>
    <row r="832" spans="1:5" x14ac:dyDescent="0.3">
      <c r="A832" s="28" t="s">
        <v>169</v>
      </c>
      <c r="B832" s="28"/>
      <c r="C832" s="28"/>
      <c r="D832" s="28"/>
      <c r="E832" s="28"/>
    </row>
    <row r="833" spans="1:5" x14ac:dyDescent="0.3">
      <c r="A833" s="28" t="s">
        <v>170</v>
      </c>
      <c r="B833" s="28"/>
      <c r="C833" s="28"/>
      <c r="D833" s="28"/>
      <c r="E833" s="28"/>
    </row>
    <row r="834" spans="1:5" x14ac:dyDescent="0.3">
      <c r="A834" s="28" t="s">
        <v>171</v>
      </c>
      <c r="B834" s="28"/>
      <c r="C834" s="28"/>
      <c r="D834" s="28"/>
      <c r="E834" s="28"/>
    </row>
    <row r="835" spans="1:5" x14ac:dyDescent="0.3">
      <c r="A835" s="28" t="s">
        <v>172</v>
      </c>
      <c r="B835" s="28"/>
      <c r="C835" s="28"/>
      <c r="D835" s="28"/>
      <c r="E835" s="28"/>
    </row>
    <row r="836" spans="1:5" x14ac:dyDescent="0.3">
      <c r="A836" s="28" t="s">
        <v>173</v>
      </c>
      <c r="B836" s="28"/>
      <c r="C836" s="28"/>
      <c r="D836" s="28"/>
      <c r="E836" s="28"/>
    </row>
    <row r="837" spans="1:5" x14ac:dyDescent="0.3">
      <c r="A837" s="28" t="s">
        <v>174</v>
      </c>
      <c r="B837" s="28"/>
      <c r="C837" s="28"/>
      <c r="D837" s="28"/>
      <c r="E837" s="28"/>
    </row>
    <row r="838" spans="1:5" x14ac:dyDescent="0.3">
      <c r="A838" s="28" t="s">
        <v>175</v>
      </c>
      <c r="B838" s="28"/>
      <c r="C838" s="28"/>
      <c r="D838" s="28"/>
      <c r="E838" s="28"/>
    </row>
    <row r="839" spans="1:5" x14ac:dyDescent="0.3">
      <c r="A839" s="28" t="s">
        <v>176</v>
      </c>
      <c r="B839" s="28"/>
      <c r="C839" s="28"/>
      <c r="D839" s="28"/>
      <c r="E839" s="28"/>
    </row>
    <row r="840" spans="1:5" x14ac:dyDescent="0.3">
      <c r="A840" s="28" t="s">
        <v>177</v>
      </c>
      <c r="B840" s="28"/>
      <c r="C840" s="28"/>
      <c r="D840" s="28"/>
      <c r="E840" s="28"/>
    </row>
    <row r="841" spans="1:5" x14ac:dyDescent="0.3">
      <c r="A841" s="28" t="s">
        <v>178</v>
      </c>
      <c r="B841" s="28"/>
      <c r="C841" s="28"/>
      <c r="D841" s="28"/>
      <c r="E841" s="28"/>
    </row>
    <row r="842" spans="1:5" x14ac:dyDescent="0.3">
      <c r="A842" s="28" t="s">
        <v>204</v>
      </c>
      <c r="B842" s="28"/>
      <c r="C842" s="28"/>
      <c r="D842" s="28"/>
      <c r="E842" s="28"/>
    </row>
    <row r="843" spans="1:5" x14ac:dyDescent="0.3">
      <c r="A843" s="28" t="s">
        <v>205</v>
      </c>
      <c r="B843" s="28"/>
      <c r="C843" s="28"/>
      <c r="D843" s="28"/>
      <c r="E843" s="28"/>
    </row>
    <row r="844" spans="1:5" x14ac:dyDescent="0.3">
      <c r="A844" s="28" t="s">
        <v>206</v>
      </c>
      <c r="B844" s="28"/>
      <c r="C844" s="28"/>
      <c r="D844" s="28"/>
      <c r="E844" s="28"/>
    </row>
    <row r="845" spans="1:5" x14ac:dyDescent="0.3">
      <c r="A845" s="28" t="s">
        <v>207</v>
      </c>
      <c r="B845" s="28"/>
      <c r="C845" s="28"/>
      <c r="D845" s="28"/>
      <c r="E845" s="28"/>
    </row>
    <row r="846" spans="1:5" x14ac:dyDescent="0.3">
      <c r="A846" s="28" t="s">
        <v>208</v>
      </c>
      <c r="B846" s="28"/>
      <c r="C846" s="28"/>
      <c r="D846" s="28"/>
      <c r="E846" s="28"/>
    </row>
    <row r="847" spans="1:5" x14ac:dyDescent="0.3">
      <c r="A847" s="28" t="s">
        <v>209</v>
      </c>
      <c r="B847" s="28"/>
      <c r="C847" s="28"/>
      <c r="D847" s="28"/>
      <c r="E847" s="28"/>
    </row>
    <row r="848" spans="1:5" x14ac:dyDescent="0.3">
      <c r="A848" s="28" t="s">
        <v>210</v>
      </c>
      <c r="B848" s="28"/>
      <c r="C848" s="28"/>
      <c r="D848" s="28"/>
      <c r="E848" s="28"/>
    </row>
    <row r="849" spans="1:5" x14ac:dyDescent="0.3">
      <c r="A849" s="28" t="s">
        <v>211</v>
      </c>
      <c r="B849" s="28"/>
      <c r="C849" s="28"/>
      <c r="D849" s="28"/>
      <c r="E849" s="28"/>
    </row>
    <row r="850" spans="1:5" x14ac:dyDescent="0.3">
      <c r="A850" s="28" t="s">
        <v>212</v>
      </c>
      <c r="B850" s="28"/>
      <c r="C850" s="28"/>
      <c r="D850" s="28"/>
      <c r="E850" s="28"/>
    </row>
    <row r="851" spans="1:5" x14ac:dyDescent="0.3">
      <c r="A851" s="28" t="s">
        <v>213</v>
      </c>
      <c r="B851" s="28"/>
      <c r="C851" s="28"/>
      <c r="D851" s="28"/>
      <c r="E851" s="28"/>
    </row>
    <row r="852" spans="1:5" x14ac:dyDescent="0.3">
      <c r="A852" s="28" t="s">
        <v>214</v>
      </c>
      <c r="B852" s="28"/>
      <c r="C852" s="28"/>
      <c r="D852" s="28"/>
      <c r="E852" s="28"/>
    </row>
    <row r="854" spans="1:5" x14ac:dyDescent="0.3">
      <c r="B854" t="s">
        <v>236</v>
      </c>
    </row>
    <row r="856" spans="1:5" x14ac:dyDescent="0.3">
      <c r="B856" t="s">
        <v>309</v>
      </c>
    </row>
    <row r="858" spans="1:5" x14ac:dyDescent="0.3">
      <c r="A858" t="s">
        <v>310</v>
      </c>
    </row>
    <row r="859" spans="1:5" x14ac:dyDescent="0.3">
      <c r="A859" t="s">
        <v>311</v>
      </c>
    </row>
    <row r="861" spans="1:5" x14ac:dyDescent="0.3">
      <c r="A861" t="s">
        <v>312</v>
      </c>
      <c r="C861">
        <v>1053.24</v>
      </c>
      <c r="D861" t="s">
        <v>313</v>
      </c>
    </row>
    <row r="862" spans="1:5" x14ac:dyDescent="0.3">
      <c r="A862" t="s">
        <v>314</v>
      </c>
      <c r="C862">
        <v>8782.48</v>
      </c>
      <c r="D862" t="s">
        <v>313</v>
      </c>
    </row>
    <row r="864" spans="1:5" x14ac:dyDescent="0.3">
      <c r="A864" t="s">
        <v>315</v>
      </c>
    </row>
    <row r="867" spans="3:5" x14ac:dyDescent="0.3">
      <c r="C867" t="s">
        <v>316</v>
      </c>
      <c r="D867">
        <v>8782.48</v>
      </c>
      <c r="E867" t="s">
        <v>242</v>
      </c>
    </row>
    <row r="869" spans="3:5" x14ac:dyDescent="0.3">
      <c r="C869" t="s">
        <v>317</v>
      </c>
      <c r="D869">
        <v>3.05</v>
      </c>
      <c r="E869" t="s">
        <v>112</v>
      </c>
    </row>
    <row r="870" spans="3:5" x14ac:dyDescent="0.3">
      <c r="C870" t="s">
        <v>318</v>
      </c>
      <c r="D870">
        <v>2.15</v>
      </c>
      <c r="E870" t="s">
        <v>112</v>
      </c>
    </row>
    <row r="871" spans="3:5" x14ac:dyDescent="0.3">
      <c r="C871" t="s">
        <v>319</v>
      </c>
      <c r="D871">
        <v>3.8</v>
      </c>
      <c r="E871" t="s">
        <v>112</v>
      </c>
    </row>
    <row r="873" spans="3:5" x14ac:dyDescent="0.3">
      <c r="C873" t="s">
        <v>320</v>
      </c>
      <c r="D873">
        <v>9</v>
      </c>
    </row>
    <row r="875" spans="3:5" x14ac:dyDescent="0.3">
      <c r="C875" t="s">
        <v>321</v>
      </c>
    </row>
    <row r="876" spans="3:5" x14ac:dyDescent="0.3">
      <c r="C876" t="s">
        <v>321</v>
      </c>
    </row>
    <row r="877" spans="3:5" x14ac:dyDescent="0.3">
      <c r="C877" t="s">
        <v>322</v>
      </c>
    </row>
    <row r="878" spans="3:5" x14ac:dyDescent="0.3">
      <c r="C878" t="s">
        <v>322</v>
      </c>
    </row>
    <row r="879" spans="3:5" x14ac:dyDescent="0.3">
      <c r="C879" t="s">
        <v>323</v>
      </c>
    </row>
    <row r="880" spans="3:5" x14ac:dyDescent="0.3">
      <c r="C880" t="s">
        <v>323</v>
      </c>
    </row>
    <row r="891" spans="1:2" x14ac:dyDescent="0.3">
      <c r="A891" s="21" t="s">
        <v>324</v>
      </c>
    </row>
    <row r="893" spans="1:2" x14ac:dyDescent="0.3">
      <c r="A893" s="21" t="s">
        <v>325</v>
      </c>
    </row>
    <row r="894" spans="1:2" x14ac:dyDescent="0.3">
      <c r="A894" s="21"/>
    </row>
    <row r="895" spans="1:2" x14ac:dyDescent="0.3">
      <c r="A895" t="s">
        <v>317</v>
      </c>
      <c r="B895" s="58">
        <v>2976.26</v>
      </c>
    </row>
    <row r="899" spans="1:4" x14ac:dyDescent="0.3">
      <c r="B899" s="59">
        <f>0.9*B895/POWER(210,0.5)</f>
        <v>184.8433069483448</v>
      </c>
      <c r="C899" t="s">
        <v>326</v>
      </c>
    </row>
    <row r="901" spans="1:4" x14ac:dyDescent="0.3">
      <c r="A901" t="s">
        <v>327</v>
      </c>
    </row>
    <row r="902" spans="1:4" x14ac:dyDescent="0.3">
      <c r="A902" t="s">
        <v>328</v>
      </c>
    </row>
    <row r="904" spans="1:4" x14ac:dyDescent="0.3">
      <c r="B904" s="56">
        <f>+B895*2.55/(2*10)</f>
        <v>379.47314999999998</v>
      </c>
    </row>
    <row r="906" spans="1:4" x14ac:dyDescent="0.3">
      <c r="A906" t="s">
        <v>329</v>
      </c>
    </row>
    <row r="907" spans="1:4" x14ac:dyDescent="0.3">
      <c r="A907" t="s">
        <v>330</v>
      </c>
    </row>
    <row r="909" spans="1:4" x14ac:dyDescent="0.3">
      <c r="B909" s="56">
        <f>+B904/(0.9*4200)</f>
        <v>0.10038972222222221</v>
      </c>
      <c r="D909">
        <f>0.1*210*0.2*0.25/4200</f>
        <v>2.5000000000000001E-4</v>
      </c>
    </row>
    <row r="912" spans="1:4" x14ac:dyDescent="0.3">
      <c r="A912" t="s">
        <v>331</v>
      </c>
    </row>
    <row r="913" spans="1:4" x14ac:dyDescent="0.3">
      <c r="A913" t="s">
        <v>332</v>
      </c>
    </row>
    <row r="915" spans="1:4" x14ac:dyDescent="0.3">
      <c r="A915" t="s">
        <v>333</v>
      </c>
    </row>
    <row r="916" spans="1:4" x14ac:dyDescent="0.3">
      <c r="A916" t="s">
        <v>334</v>
      </c>
    </row>
    <row r="917" spans="1:4" x14ac:dyDescent="0.3">
      <c r="A917" t="s">
        <v>335</v>
      </c>
    </row>
    <row r="919" spans="1:4" x14ac:dyDescent="0.3">
      <c r="D919" t="s">
        <v>336</v>
      </c>
    </row>
    <row r="920" spans="1:4" x14ac:dyDescent="0.3">
      <c r="D920" t="s">
        <v>337</v>
      </c>
    </row>
    <row r="921" spans="1:4" x14ac:dyDescent="0.3">
      <c r="D921" s="60" t="s">
        <v>338</v>
      </c>
    </row>
    <row r="922" spans="1:4" x14ac:dyDescent="0.3">
      <c r="D922" s="60" t="s">
        <v>339</v>
      </c>
    </row>
    <row r="923" spans="1:4" x14ac:dyDescent="0.3">
      <c r="D923" t="s">
        <v>340</v>
      </c>
    </row>
    <row r="927" spans="1:4" x14ac:dyDescent="0.3">
      <c r="A927" t="s">
        <v>318</v>
      </c>
      <c r="B927" s="58">
        <v>2098.02</v>
      </c>
    </row>
    <row r="931" spans="1:4" x14ac:dyDescent="0.3">
      <c r="B931" s="59">
        <f>0.9*B927/POWER(210,0.5)</f>
        <v>130.29942103303014</v>
      </c>
      <c r="C931" t="s">
        <v>326</v>
      </c>
    </row>
    <row r="933" spans="1:4" x14ac:dyDescent="0.3">
      <c r="A933" t="s">
        <v>327</v>
      </c>
    </row>
    <row r="934" spans="1:4" x14ac:dyDescent="0.3">
      <c r="A934" t="s">
        <v>328</v>
      </c>
    </row>
    <row r="936" spans="1:4" x14ac:dyDescent="0.3">
      <c r="B936" s="56">
        <f>+B927*1.9/(2*10)</f>
        <v>199.31189999999998</v>
      </c>
    </row>
    <row r="938" spans="1:4" x14ac:dyDescent="0.3">
      <c r="A938" t="s">
        <v>329</v>
      </c>
    </row>
    <row r="939" spans="1:4" x14ac:dyDescent="0.3">
      <c r="A939" t="s">
        <v>330</v>
      </c>
    </row>
    <row r="941" spans="1:4" x14ac:dyDescent="0.3">
      <c r="B941" s="54">
        <f>+B936/(0.9*4200)</f>
        <v>5.2728015873015871E-2</v>
      </c>
      <c r="D941">
        <f>0.1*210*0.2*0.25/4200</f>
        <v>2.5000000000000001E-4</v>
      </c>
    </row>
    <row r="944" spans="1:4" x14ac:dyDescent="0.3">
      <c r="A944" t="s">
        <v>331</v>
      </c>
    </row>
    <row r="945" spans="1:4" x14ac:dyDescent="0.3">
      <c r="A945" t="s">
        <v>332</v>
      </c>
    </row>
    <row r="947" spans="1:4" x14ac:dyDescent="0.3">
      <c r="A947" t="s">
        <v>333</v>
      </c>
    </row>
    <row r="948" spans="1:4" x14ac:dyDescent="0.3">
      <c r="A948" t="s">
        <v>334</v>
      </c>
    </row>
    <row r="949" spans="1:4" x14ac:dyDescent="0.3">
      <c r="A949" t="s">
        <v>335</v>
      </c>
    </row>
    <row r="951" spans="1:4" x14ac:dyDescent="0.3">
      <c r="D951" t="s">
        <v>336</v>
      </c>
    </row>
    <row r="952" spans="1:4" x14ac:dyDescent="0.3">
      <c r="D952" t="s">
        <v>337</v>
      </c>
    </row>
    <row r="953" spans="1:4" x14ac:dyDescent="0.3">
      <c r="D953" s="60" t="s">
        <v>338</v>
      </c>
    </row>
    <row r="954" spans="1:4" x14ac:dyDescent="0.3">
      <c r="D954" s="60" t="s">
        <v>339</v>
      </c>
    </row>
    <row r="955" spans="1:4" x14ac:dyDescent="0.3">
      <c r="D955" t="s">
        <v>340</v>
      </c>
    </row>
    <row r="958" spans="1:4" x14ac:dyDescent="0.3">
      <c r="A958" t="s">
        <v>319</v>
      </c>
      <c r="B958" s="58">
        <v>3708.12</v>
      </c>
    </row>
    <row r="962" spans="1:4" x14ac:dyDescent="0.3">
      <c r="B962" s="59">
        <f>0.9*B958/POWER(210,0.5)</f>
        <v>230.29613117177135</v>
      </c>
      <c r="C962" t="s">
        <v>326</v>
      </c>
    </row>
    <row r="964" spans="1:4" x14ac:dyDescent="0.3">
      <c r="A964" t="s">
        <v>327</v>
      </c>
    </row>
    <row r="965" spans="1:4" x14ac:dyDescent="0.3">
      <c r="A965" t="s">
        <v>328</v>
      </c>
    </row>
    <row r="967" spans="1:4" x14ac:dyDescent="0.3">
      <c r="B967" s="56">
        <f>+B958*3.55/(2*10)</f>
        <v>658.19129999999996</v>
      </c>
    </row>
    <row r="969" spans="1:4" x14ac:dyDescent="0.3">
      <c r="A969" t="s">
        <v>329</v>
      </c>
    </row>
    <row r="970" spans="1:4" x14ac:dyDescent="0.3">
      <c r="A970" t="s">
        <v>330</v>
      </c>
    </row>
    <row r="972" spans="1:4" x14ac:dyDescent="0.3">
      <c r="B972" s="54">
        <f>+B967/(0.9*4200)</f>
        <v>0.17412468253968252</v>
      </c>
      <c r="D972">
        <f>0.1*210*0.2*0.25/4200</f>
        <v>2.5000000000000001E-4</v>
      </c>
    </row>
    <row r="975" spans="1:4" x14ac:dyDescent="0.3">
      <c r="A975" t="s">
        <v>331</v>
      </c>
    </row>
    <row r="976" spans="1:4" x14ac:dyDescent="0.3">
      <c r="A976" t="s">
        <v>332</v>
      </c>
    </row>
    <row r="978" spans="1:4" x14ac:dyDescent="0.3">
      <c r="A978" t="s">
        <v>333</v>
      </c>
    </row>
    <row r="979" spans="1:4" x14ac:dyDescent="0.3">
      <c r="A979" t="s">
        <v>334</v>
      </c>
    </row>
    <row r="980" spans="1:4" x14ac:dyDescent="0.3">
      <c r="A980" t="s">
        <v>335</v>
      </c>
    </row>
    <row r="982" spans="1:4" x14ac:dyDescent="0.3">
      <c r="D982" t="s">
        <v>336</v>
      </c>
    </row>
    <row r="983" spans="1:4" x14ac:dyDescent="0.3">
      <c r="D983" t="s">
        <v>337</v>
      </c>
    </row>
    <row r="984" spans="1:4" x14ac:dyDescent="0.3">
      <c r="D984" s="60" t="s">
        <v>338</v>
      </c>
    </row>
    <row r="985" spans="1:4" x14ac:dyDescent="0.3">
      <c r="D985" s="60" t="s">
        <v>339</v>
      </c>
    </row>
    <row r="986" spans="1:4" x14ac:dyDescent="0.3">
      <c r="D986" t="s">
        <v>340</v>
      </c>
    </row>
    <row r="990" spans="1:4" x14ac:dyDescent="0.3">
      <c r="B990" t="s">
        <v>341</v>
      </c>
    </row>
    <row r="992" spans="1:4" x14ac:dyDescent="0.3">
      <c r="B992" t="s">
        <v>342</v>
      </c>
    </row>
    <row r="994" spans="2:4" x14ac:dyDescent="0.3">
      <c r="B994" t="s">
        <v>343</v>
      </c>
    </row>
    <row r="999" spans="2:4" x14ac:dyDescent="0.3">
      <c r="B999" t="s">
        <v>344</v>
      </c>
    </row>
    <row r="1001" spans="2:4" x14ac:dyDescent="0.3">
      <c r="C1001">
        <f>1.5*(8782.48*3.55/(10*5))</f>
        <v>935.33411999999998</v>
      </c>
    </row>
    <row r="1003" spans="2:4" x14ac:dyDescent="0.3">
      <c r="C1003" s="59">
        <f>+C1001/(0.2*210*0.85)</f>
        <v>26.199835294117651</v>
      </c>
    </row>
    <row r="1005" spans="2:4" x14ac:dyDescent="0.3">
      <c r="C1005" s="59">
        <f>15*25</f>
        <v>375</v>
      </c>
      <c r="D1005" t="s">
        <v>345</v>
      </c>
    </row>
    <row r="1007" spans="2:4" x14ac:dyDescent="0.3">
      <c r="B1007" t="s">
        <v>346</v>
      </c>
    </row>
    <row r="1008" spans="2:4" x14ac:dyDescent="0.3">
      <c r="B1008" t="s">
        <v>347</v>
      </c>
    </row>
    <row r="1010" spans="2:4" x14ac:dyDescent="0.3">
      <c r="B1010" s="19" t="s">
        <v>348</v>
      </c>
    </row>
    <row r="1012" spans="2:4" x14ac:dyDescent="0.3">
      <c r="B1012" t="s">
        <v>349</v>
      </c>
    </row>
    <row r="1014" spans="2:4" x14ac:dyDescent="0.3">
      <c r="C1014">
        <f>0.1*210*25*25/4200</f>
        <v>3.125</v>
      </c>
      <c r="D1014" t="s">
        <v>350</v>
      </c>
    </row>
    <row r="1016" spans="2:4" x14ac:dyDescent="0.3">
      <c r="B1016" t="s">
        <v>351</v>
      </c>
    </row>
    <row r="1018" spans="2:4" x14ac:dyDescent="0.3">
      <c r="B1018" s="19" t="s">
        <v>352</v>
      </c>
    </row>
    <row r="1020" spans="2:4" x14ac:dyDescent="0.3">
      <c r="B1020" t="s">
        <v>353</v>
      </c>
      <c r="C1020" t="s">
        <v>354</v>
      </c>
    </row>
    <row r="1022" spans="2:4" x14ac:dyDescent="0.3">
      <c r="B1022" t="s">
        <v>355</v>
      </c>
    </row>
    <row r="1023" spans="2:4" x14ac:dyDescent="0.3">
      <c r="B1023" t="s">
        <v>356</v>
      </c>
    </row>
    <row r="1024" spans="2:4" x14ac:dyDescent="0.3">
      <c r="B1024" t="s">
        <v>357</v>
      </c>
    </row>
    <row r="1026" spans="4:4" x14ac:dyDescent="0.3">
      <c r="D1026" t="s">
        <v>358</v>
      </c>
    </row>
    <row r="1047" spans="2:3" x14ac:dyDescent="0.3">
      <c r="C1047" t="s">
        <v>359</v>
      </c>
    </row>
    <row r="1049" spans="2:3" x14ac:dyDescent="0.3">
      <c r="C1049" t="s">
        <v>236</v>
      </c>
    </row>
    <row r="1051" spans="2:3" x14ac:dyDescent="0.3">
      <c r="B1051" t="s">
        <v>360</v>
      </c>
    </row>
    <row r="1052" spans="2:3" x14ac:dyDescent="0.3">
      <c r="B1052" t="s">
        <v>361</v>
      </c>
    </row>
    <row r="1061" spans="2:4" x14ac:dyDescent="0.3">
      <c r="C1061" t="s">
        <v>362</v>
      </c>
    </row>
    <row r="1063" spans="2:4" x14ac:dyDescent="0.3">
      <c r="B1063" t="s">
        <v>363</v>
      </c>
      <c r="C1063" t="s">
        <v>364</v>
      </c>
    </row>
    <row r="1064" spans="2:4" x14ac:dyDescent="0.3">
      <c r="B1064" t="s">
        <v>365</v>
      </c>
      <c r="C1064" t="s">
        <v>366</v>
      </c>
    </row>
    <row r="1065" spans="2:4" x14ac:dyDescent="0.3">
      <c r="B1065" t="s">
        <v>367</v>
      </c>
      <c r="D1065">
        <f>0.05*0.4*1*2400</f>
        <v>48.000000000000007</v>
      </c>
    </row>
    <row r="1066" spans="2:4" ht="15" thickBot="1" x14ac:dyDescent="0.35">
      <c r="B1066" t="s">
        <v>368</v>
      </c>
      <c r="D1066" s="61">
        <f>0.1*0.15*1*2400</f>
        <v>36</v>
      </c>
    </row>
    <row r="1067" spans="2:4" x14ac:dyDescent="0.3">
      <c r="D1067">
        <f>+SUM(D1065:D1066)</f>
        <v>84</v>
      </c>
    </row>
    <row r="1069" spans="2:4" x14ac:dyDescent="0.3">
      <c r="B1069" t="s">
        <v>369</v>
      </c>
    </row>
    <row r="1071" spans="2:4" x14ac:dyDescent="0.3">
      <c r="B1071" t="s">
        <v>370</v>
      </c>
    </row>
    <row r="1073" spans="2:3" x14ac:dyDescent="0.3">
      <c r="B1073" t="s">
        <v>371</v>
      </c>
    </row>
    <row r="1074" spans="2:3" x14ac:dyDescent="0.3">
      <c r="B1074" t="s">
        <v>372</v>
      </c>
    </row>
    <row r="1075" spans="2:3" x14ac:dyDescent="0.3">
      <c r="B1075" t="s">
        <v>373</v>
      </c>
    </row>
    <row r="1077" spans="2:3" x14ac:dyDescent="0.3">
      <c r="B1077" t="s">
        <v>374</v>
      </c>
    </row>
    <row r="1079" spans="2:3" x14ac:dyDescent="0.3">
      <c r="B1079" t="s">
        <v>375</v>
      </c>
    </row>
    <row r="1081" spans="2:3" x14ac:dyDescent="0.3">
      <c r="B1081" t="s">
        <v>376</v>
      </c>
    </row>
    <row r="1083" spans="2:3" x14ac:dyDescent="0.3">
      <c r="C1083" s="21" t="s">
        <v>377</v>
      </c>
    </row>
    <row r="1085" spans="2:3" x14ac:dyDescent="0.3">
      <c r="B1085" t="s">
        <v>378</v>
      </c>
    </row>
    <row r="1086" spans="2:3" x14ac:dyDescent="0.3">
      <c r="B1086" t="s">
        <v>379</v>
      </c>
    </row>
    <row r="1087" spans="2:3" x14ac:dyDescent="0.3">
      <c r="B1087" t="s">
        <v>380</v>
      </c>
    </row>
    <row r="1089" spans="2:4" x14ac:dyDescent="0.3">
      <c r="B1089" t="s">
        <v>381</v>
      </c>
    </row>
    <row r="1090" spans="2:4" x14ac:dyDescent="0.3">
      <c r="C1090" t="s">
        <v>382</v>
      </c>
      <c r="D1090" s="62">
        <f>4+0.2</f>
        <v>4.2</v>
      </c>
    </row>
    <row r="1091" spans="2:4" x14ac:dyDescent="0.3">
      <c r="C1091" t="s">
        <v>383</v>
      </c>
      <c r="D1091" s="62">
        <f>0.125+4+0.125</f>
        <v>4.25</v>
      </c>
    </row>
    <row r="1093" spans="2:4" x14ac:dyDescent="0.3">
      <c r="B1093" t="s">
        <v>384</v>
      </c>
    </row>
    <row r="1094" spans="2:4" x14ac:dyDescent="0.3">
      <c r="C1094" t="s">
        <v>382</v>
      </c>
      <c r="D1094" s="62">
        <f>3.25+0.25</f>
        <v>3.5</v>
      </c>
    </row>
    <row r="1095" spans="2:4" x14ac:dyDescent="0.3">
      <c r="C1095" t="s">
        <v>383</v>
      </c>
      <c r="D1095" s="62">
        <f>0.125+3.25+0.125</f>
        <v>3.5</v>
      </c>
    </row>
    <row r="1106" spans="1:6" x14ac:dyDescent="0.3">
      <c r="B1106" t="s">
        <v>385</v>
      </c>
    </row>
    <row r="1112" spans="1:6" x14ac:dyDescent="0.3">
      <c r="B1112" t="s">
        <v>386</v>
      </c>
      <c r="C1112" s="63">
        <f>+-444*(4.2)^2/12</f>
        <v>-652.67999999999995</v>
      </c>
    </row>
    <row r="1113" spans="1:6" x14ac:dyDescent="0.3">
      <c r="B1113" t="s">
        <v>387</v>
      </c>
      <c r="C1113" s="63">
        <f>444*(4.2)^2/12</f>
        <v>652.67999999999995</v>
      </c>
    </row>
    <row r="1114" spans="1:6" x14ac:dyDescent="0.3">
      <c r="B1114" t="s">
        <v>388</v>
      </c>
      <c r="C1114" s="63">
        <f>+-444*(3.45)^2/12</f>
        <v>-440.3925000000001</v>
      </c>
    </row>
    <row r="1115" spans="1:6" x14ac:dyDescent="0.3">
      <c r="B1115" t="s">
        <v>389</v>
      </c>
      <c r="C1115" s="63">
        <f>444*(3.45)^2/12</f>
        <v>440.3925000000001</v>
      </c>
    </row>
    <row r="1117" spans="1:6" x14ac:dyDescent="0.3">
      <c r="A1117">
        <v>0.8</v>
      </c>
      <c r="C1117">
        <v>0.45</v>
      </c>
      <c r="D1117">
        <v>0.55000000000000004</v>
      </c>
      <c r="F1117">
        <v>0.8</v>
      </c>
    </row>
    <row r="1118" spans="1:6" x14ac:dyDescent="0.3">
      <c r="A1118">
        <f>+C1112</f>
        <v>-652.67999999999995</v>
      </c>
      <c r="C1118">
        <f>+C1113</f>
        <v>652.67999999999995</v>
      </c>
      <c r="D1118">
        <f>+C1114</f>
        <v>-440.3925000000001</v>
      </c>
      <c r="F1118">
        <f>+C1115</f>
        <v>440.3925000000001</v>
      </c>
    </row>
    <row r="1119" spans="1:6" x14ac:dyDescent="0.3">
      <c r="A1119">
        <f>+$A$1117*C1118</f>
        <v>522.14400000000001</v>
      </c>
      <c r="C1119">
        <f>+A1118*C1117</f>
        <v>-293.70599999999996</v>
      </c>
    </row>
    <row r="1133" spans="2:2" x14ac:dyDescent="0.3">
      <c r="B1133" t="s">
        <v>390</v>
      </c>
    </row>
    <row r="1143" spans="2:3" x14ac:dyDescent="0.3">
      <c r="C1143" t="s">
        <v>391</v>
      </c>
    </row>
    <row r="1148" spans="2:3" x14ac:dyDescent="0.3">
      <c r="C1148" t="s">
        <v>392</v>
      </c>
    </row>
    <row r="1149" spans="2:3" x14ac:dyDescent="0.3">
      <c r="B1149" t="s">
        <v>393</v>
      </c>
    </row>
    <row r="1154" spans="2:2" x14ac:dyDescent="0.3">
      <c r="B1154" t="s">
        <v>394</v>
      </c>
    </row>
    <row r="1161" spans="2:2" x14ac:dyDescent="0.3">
      <c r="B1161" t="s">
        <v>395</v>
      </c>
    </row>
    <row r="1163" spans="2:2" x14ac:dyDescent="0.3">
      <c r="B1163">
        <v>1</v>
      </c>
    </row>
    <row r="1168" spans="2:2" x14ac:dyDescent="0.3">
      <c r="B1168">
        <v>2</v>
      </c>
    </row>
    <row r="1176" spans="2:2" x14ac:dyDescent="0.3">
      <c r="B1176">
        <v>3</v>
      </c>
    </row>
    <row r="1184" spans="2:2" x14ac:dyDescent="0.3">
      <c r="B1184" t="s">
        <v>396</v>
      </c>
    </row>
    <row r="1185" spans="2:4" x14ac:dyDescent="0.3">
      <c r="B1185" s="20"/>
    </row>
    <row r="1186" spans="2:4" x14ac:dyDescent="0.3">
      <c r="B1186" s="19" t="s">
        <v>397</v>
      </c>
    </row>
    <row r="1187" spans="2:4" x14ac:dyDescent="0.3">
      <c r="D1187" t="s">
        <v>398</v>
      </c>
    </row>
    <row r="1188" spans="2:4" x14ac:dyDescent="0.3">
      <c r="D1188" t="s">
        <v>398</v>
      </c>
    </row>
    <row r="1189" spans="2:4" x14ac:dyDescent="0.3">
      <c r="D1189" t="s">
        <v>399</v>
      </c>
    </row>
    <row r="1190" spans="2:4" x14ac:dyDescent="0.3">
      <c r="D1190" t="s">
        <v>399</v>
      </c>
    </row>
    <row r="1194" spans="2:4" x14ac:dyDescent="0.3">
      <c r="B1194" t="s">
        <v>398</v>
      </c>
    </row>
    <row r="1195" spans="2:4" x14ac:dyDescent="0.3">
      <c r="B1195" t="s">
        <v>398</v>
      </c>
    </row>
    <row r="1197" spans="2:4" x14ac:dyDescent="0.3">
      <c r="B1197" t="s">
        <v>400</v>
      </c>
    </row>
    <row r="1199" spans="2:4" x14ac:dyDescent="0.3">
      <c r="D1199" t="s">
        <v>398</v>
      </c>
    </row>
    <row r="1200" spans="2:4" x14ac:dyDescent="0.3">
      <c r="D1200" t="s">
        <v>398</v>
      </c>
    </row>
    <row r="1201" spans="2:4" x14ac:dyDescent="0.3">
      <c r="D1201" t="s">
        <v>399</v>
      </c>
    </row>
    <row r="1202" spans="2:4" x14ac:dyDescent="0.3">
      <c r="D1202" t="s">
        <v>399</v>
      </c>
    </row>
    <row r="1208" spans="2:4" x14ac:dyDescent="0.3">
      <c r="B1208" t="s">
        <v>398</v>
      </c>
    </row>
    <row r="1210" spans="2:4" x14ac:dyDescent="0.3">
      <c r="B1210" t="s">
        <v>401</v>
      </c>
    </row>
    <row r="1211" spans="2:4" x14ac:dyDescent="0.3">
      <c r="B1211" t="s">
        <v>402</v>
      </c>
    </row>
    <row r="1212" spans="2:4" x14ac:dyDescent="0.3">
      <c r="B1212" t="s">
        <v>403</v>
      </c>
    </row>
    <row r="1214" spans="2:4" x14ac:dyDescent="0.3">
      <c r="B1214" t="s">
        <v>404</v>
      </c>
    </row>
    <row r="1239" spans="2:2" x14ac:dyDescent="0.3">
      <c r="B1239" t="s">
        <v>405</v>
      </c>
    </row>
    <row r="1241" spans="2:2" x14ac:dyDescent="0.3">
      <c r="B1241" t="s">
        <v>406</v>
      </c>
    </row>
    <row r="1242" spans="2:2" x14ac:dyDescent="0.3">
      <c r="B1242" t="s">
        <v>407</v>
      </c>
    </row>
    <row r="1255" spans="2:4" x14ac:dyDescent="0.3">
      <c r="B1255" t="s">
        <v>408</v>
      </c>
    </row>
    <row r="1257" spans="2:4" x14ac:dyDescent="0.3">
      <c r="D1257" t="s">
        <v>409</v>
      </c>
    </row>
    <row r="1258" spans="2:4" x14ac:dyDescent="0.3">
      <c r="D1258" t="s">
        <v>410</v>
      </c>
    </row>
    <row r="1259" spans="2:4" x14ac:dyDescent="0.3">
      <c r="D1259" t="s">
        <v>411</v>
      </c>
    </row>
    <row r="1262" spans="2:4" x14ac:dyDescent="0.3">
      <c r="B1262" t="s">
        <v>412</v>
      </c>
    </row>
    <row r="1264" spans="2:4" x14ac:dyDescent="0.3">
      <c r="D1264" t="s">
        <v>413</v>
      </c>
    </row>
    <row r="1265" spans="2:4" x14ac:dyDescent="0.3">
      <c r="D1265" t="s">
        <v>413</v>
      </c>
    </row>
    <row r="1266" spans="2:4" x14ac:dyDescent="0.3">
      <c r="D1266" t="s">
        <v>413</v>
      </c>
    </row>
    <row r="1277" spans="2:4" x14ac:dyDescent="0.3">
      <c r="B1277" t="s">
        <v>414</v>
      </c>
    </row>
    <row r="1278" spans="2:4" x14ac:dyDescent="0.3">
      <c r="B1278" t="s">
        <v>415</v>
      </c>
    </row>
    <row r="1279" spans="2:4" x14ac:dyDescent="0.3">
      <c r="B1279" t="s">
        <v>416</v>
      </c>
    </row>
    <row r="1280" spans="2:4" x14ac:dyDescent="0.3">
      <c r="B1280" t="s">
        <v>417</v>
      </c>
    </row>
    <row r="1281" spans="2:2" x14ac:dyDescent="0.3">
      <c r="B1281" t="s">
        <v>418</v>
      </c>
    </row>
    <row r="1282" spans="2:2" x14ac:dyDescent="0.3">
      <c r="B1282" t="s">
        <v>419</v>
      </c>
    </row>
    <row r="1283" spans="2:2" x14ac:dyDescent="0.3">
      <c r="B1283" t="s">
        <v>420</v>
      </c>
    </row>
    <row r="1284" spans="2:2" x14ac:dyDescent="0.3">
      <c r="B1284" t="s">
        <v>421</v>
      </c>
    </row>
    <row r="1286" spans="2:2" x14ac:dyDescent="0.3">
      <c r="B1286" s="21" t="s">
        <v>422</v>
      </c>
    </row>
    <row r="1288" spans="2:2" x14ac:dyDescent="0.3">
      <c r="B1288" s="21" t="s">
        <v>423</v>
      </c>
    </row>
    <row r="1309" spans="2:2" x14ac:dyDescent="0.3">
      <c r="B1309" t="s">
        <v>424</v>
      </c>
    </row>
    <row r="1310" spans="2:2" x14ac:dyDescent="0.3">
      <c r="B1310" t="s">
        <v>425</v>
      </c>
    </row>
    <row r="1311" spans="2:2" x14ac:dyDescent="0.3">
      <c r="B1311" t="s">
        <v>426</v>
      </c>
    </row>
    <row r="1312" spans="2:2" x14ac:dyDescent="0.3">
      <c r="B1312" t="s">
        <v>427</v>
      </c>
    </row>
    <row r="1313" spans="2:2" x14ac:dyDescent="0.3">
      <c r="B1313" t="s">
        <v>428</v>
      </c>
    </row>
    <row r="1315" spans="2:2" x14ac:dyDescent="0.3">
      <c r="B1315" t="s">
        <v>429</v>
      </c>
    </row>
    <row r="1316" spans="2:2" x14ac:dyDescent="0.3">
      <c r="B1316" t="s">
        <v>430</v>
      </c>
    </row>
    <row r="1317" spans="2:2" x14ac:dyDescent="0.3">
      <c r="B1317" t="s">
        <v>430</v>
      </c>
    </row>
    <row r="1319" spans="2:2" x14ac:dyDescent="0.3">
      <c r="B1319" t="s">
        <v>431</v>
      </c>
    </row>
    <row r="1344" spans="2:2" x14ac:dyDescent="0.3">
      <c r="B1344" t="s">
        <v>432</v>
      </c>
    </row>
    <row r="1385" spans="2:2" x14ac:dyDescent="0.3">
      <c r="B1385" t="s">
        <v>433</v>
      </c>
    </row>
    <row r="1443" spans="2:2" x14ac:dyDescent="0.3">
      <c r="B1443" s="19" t="s">
        <v>434</v>
      </c>
    </row>
  </sheetData>
  <mergeCells count="16">
    <mergeCell ref="A403:A407"/>
    <mergeCell ref="A426:A430"/>
    <mergeCell ref="A328:A332"/>
    <mergeCell ref="A316:A320"/>
    <mergeCell ref="A125:D125"/>
    <mergeCell ref="A136:D136"/>
    <mergeCell ref="E125:H125"/>
    <mergeCell ref="A126:D126"/>
    <mergeCell ref="A127:D127"/>
    <mergeCell ref="E126:H126"/>
    <mergeCell ref="E127:H127"/>
    <mergeCell ref="E136:H136"/>
    <mergeCell ref="A128:B128"/>
    <mergeCell ref="E128:F128"/>
    <mergeCell ref="A137:B137"/>
    <mergeCell ref="E137:F137"/>
  </mergeCells>
  <hyperlinks>
    <hyperlink ref="D922" r:id="rId1" xr:uid="{00000000-0004-0000-0000-000000000000}"/>
    <hyperlink ref="D954" r:id="rId2" xr:uid="{00000000-0004-0000-0000-000001000000}"/>
    <hyperlink ref="D985" r:id="rId3" xr:uid="{00000000-0004-0000-0000-000002000000}"/>
  </hyperlinks>
  <pageMargins left="0.7" right="0.7" top="0.75" bottom="0.75" header="0.3" footer="0.3"/>
  <pageSetup paperSize="9" scale="59" orientation="portrait" r:id="rId4"/>
  <drawing r:id="rId5"/>
  <legacyDrawing r:id="rId6"/>
  <controls>
    <mc:AlternateContent xmlns:mc="http://schemas.openxmlformats.org/markup-compatibility/2006">
      <mc:Choice Requires="x14">
        <control shapeId="1025" r:id="rId7" name="CommandButton1">
          <controlPr defaultSize="0" autoLine="0" autoPict="0" r:id="rId8">
            <anchor moveWithCells="1">
              <from>
                <xdr:col>11</xdr:col>
                <xdr:colOff>114300</xdr:colOff>
                <xdr:row>4</xdr:row>
                <xdr:rowOff>38100</xdr:rowOff>
              </from>
              <to>
                <xdr:col>12</xdr:col>
                <xdr:colOff>121920</xdr:colOff>
                <xdr:row>6</xdr:row>
                <xdr:rowOff>45720</xdr:rowOff>
              </to>
            </anchor>
          </controlPr>
        </control>
      </mc:Choice>
      <mc:Fallback>
        <control shapeId="1025" r:id="rId7" name="CommandButton1"/>
      </mc:Fallback>
    </mc:AlternateContent>
  </controls>
  <tableParts count="24"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E23"/>
  <sheetViews>
    <sheetView workbookViewId="0">
      <selection activeCell="D18" sqref="D18"/>
    </sheetView>
  </sheetViews>
  <sheetFormatPr baseColWidth="10" defaultColWidth="11.44140625" defaultRowHeight="14.4" x14ac:dyDescent="0.3"/>
  <sheetData>
    <row r="1" spans="1:2" x14ac:dyDescent="0.3">
      <c r="A1" t="s">
        <v>435</v>
      </c>
      <c r="B1" s="64">
        <v>2</v>
      </c>
    </row>
    <row r="2" spans="1:2" x14ac:dyDescent="0.3">
      <c r="A2" t="s">
        <v>436</v>
      </c>
      <c r="B2" s="64">
        <v>0.5</v>
      </c>
    </row>
    <row r="3" spans="1:2" x14ac:dyDescent="0.3">
      <c r="A3" t="s">
        <v>437</v>
      </c>
      <c r="B3" s="64">
        <v>2</v>
      </c>
    </row>
    <row r="4" spans="1:2" x14ac:dyDescent="0.3">
      <c r="A4" t="s">
        <v>438</v>
      </c>
      <c r="B4" s="64">
        <v>0.5</v>
      </c>
    </row>
    <row r="5" spans="1:2" x14ac:dyDescent="0.3">
      <c r="A5" t="s">
        <v>6</v>
      </c>
      <c r="B5">
        <v>3</v>
      </c>
    </row>
    <row r="23" spans="5:5" x14ac:dyDescent="0.3">
      <c r="E23" s="6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ccionTransversal">
                <anchor moveWithCells="1" sizeWithCells="1">
                  <from>
                    <xdr:col>2</xdr:col>
                    <xdr:colOff>502920</xdr:colOff>
                    <xdr:row>1</xdr:row>
                    <xdr:rowOff>38100</xdr:rowOff>
                  </from>
                  <to>
                    <xdr:col>3</xdr:col>
                    <xdr:colOff>160020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46"/>
  <sheetViews>
    <sheetView tabSelected="1" topLeftCell="G10" workbookViewId="0">
      <selection activeCell="U28" sqref="U28"/>
    </sheetView>
  </sheetViews>
  <sheetFormatPr baseColWidth="10" defaultRowHeight="14.4" x14ac:dyDescent="0.3"/>
  <sheetData>
    <row r="1" spans="1:5" x14ac:dyDescent="0.3">
      <c r="A1" t="s">
        <v>444</v>
      </c>
    </row>
    <row r="2" spans="1:5" x14ac:dyDescent="0.3">
      <c r="A2" t="s">
        <v>445</v>
      </c>
    </row>
    <row r="3" spans="1:5" x14ac:dyDescent="0.3">
      <c r="A3" t="s">
        <v>443</v>
      </c>
      <c r="B3" t="s">
        <v>439</v>
      </c>
      <c r="C3" t="s">
        <v>440</v>
      </c>
      <c r="D3" t="s">
        <v>441</v>
      </c>
      <c r="E3" t="s">
        <v>442</v>
      </c>
    </row>
    <row r="4" spans="1:5" x14ac:dyDescent="0.3">
      <c r="A4" s="60" t="s">
        <v>169</v>
      </c>
      <c r="B4">
        <v>0</v>
      </c>
      <c r="C4">
        <v>0</v>
      </c>
      <c r="D4">
        <v>0.25</v>
      </c>
      <c r="E4">
        <v>9</v>
      </c>
    </row>
    <row r="5" spans="1:5" x14ac:dyDescent="0.3">
      <c r="A5" s="60" t="s">
        <v>170</v>
      </c>
      <c r="B5">
        <v>0.25</v>
      </c>
      <c r="C5">
        <f>0.15+4.85</f>
        <v>5</v>
      </c>
      <c r="D5">
        <v>2.5</v>
      </c>
      <c r="E5">
        <v>0.15</v>
      </c>
    </row>
    <row r="6" spans="1:5" x14ac:dyDescent="0.3">
      <c r="A6" s="60" t="s">
        <v>171</v>
      </c>
      <c r="B6">
        <f>0.25+0.9+0.15+2.95+0.25</f>
        <v>4.5</v>
      </c>
      <c r="C6">
        <f>+C5</f>
        <v>5</v>
      </c>
      <c r="D6">
        <v>1.75</v>
      </c>
      <c r="E6">
        <v>0.15</v>
      </c>
    </row>
    <row r="7" spans="1:5" x14ac:dyDescent="0.3">
      <c r="A7" s="60" t="s">
        <v>172</v>
      </c>
      <c r="B7">
        <f>+B6+D6+0.9</f>
        <v>7.15</v>
      </c>
      <c r="C7">
        <f>+C6</f>
        <v>5</v>
      </c>
      <c r="D7">
        <v>0.6</v>
      </c>
      <c r="E7">
        <v>0.15</v>
      </c>
    </row>
    <row r="8" spans="1:5" x14ac:dyDescent="0.3">
      <c r="A8" s="60" t="s">
        <v>173</v>
      </c>
      <c r="B8">
        <f>+B7+D7</f>
        <v>7.75</v>
      </c>
      <c r="C8">
        <v>0</v>
      </c>
      <c r="D8">
        <v>0.25</v>
      </c>
      <c r="E8">
        <v>9</v>
      </c>
    </row>
    <row r="9" spans="1:5" x14ac:dyDescent="0.3">
      <c r="A9" s="60" t="s">
        <v>174</v>
      </c>
      <c r="B9">
        <f>+B6</f>
        <v>4.5</v>
      </c>
      <c r="C9">
        <v>0</v>
      </c>
      <c r="D9">
        <v>0.95</v>
      </c>
      <c r="E9">
        <v>0.15</v>
      </c>
    </row>
    <row r="10" spans="1:5" x14ac:dyDescent="0.3">
      <c r="A10" s="60" t="s">
        <v>175</v>
      </c>
      <c r="B10">
        <v>0.25</v>
      </c>
      <c r="C10">
        <v>0</v>
      </c>
      <c r="D10">
        <v>0.9</v>
      </c>
      <c r="E10">
        <v>0.15</v>
      </c>
    </row>
    <row r="11" spans="1:5" x14ac:dyDescent="0.3">
      <c r="A11" s="60" t="s">
        <v>176</v>
      </c>
      <c r="B11">
        <f>0.25+0.9</f>
        <v>1.1499999999999999</v>
      </c>
      <c r="C11">
        <v>0</v>
      </c>
      <c r="D11">
        <v>0.15</v>
      </c>
      <c r="E11">
        <v>2.15</v>
      </c>
    </row>
    <row r="12" spans="1:5" x14ac:dyDescent="0.3">
      <c r="A12" s="60" t="s">
        <v>177</v>
      </c>
      <c r="B12">
        <f>0.25+0.9+0.15+2.95</f>
        <v>4.25</v>
      </c>
      <c r="C12">
        <f>1.95+0.85</f>
        <v>2.8</v>
      </c>
      <c r="D12">
        <v>0.25</v>
      </c>
      <c r="E12">
        <v>2.35</v>
      </c>
    </row>
    <row r="13" spans="1:5" x14ac:dyDescent="0.3">
      <c r="A13" s="60" t="s">
        <v>178</v>
      </c>
      <c r="B13">
        <f>+B12</f>
        <v>4.25</v>
      </c>
      <c r="C13">
        <v>0</v>
      </c>
      <c r="D13">
        <v>0.25</v>
      </c>
      <c r="E13">
        <v>1.95</v>
      </c>
    </row>
    <row r="14" spans="1:5" x14ac:dyDescent="0.3">
      <c r="A14" s="60"/>
    </row>
    <row r="15" spans="1:5" x14ac:dyDescent="0.3">
      <c r="A15" s="60"/>
    </row>
    <row r="16" spans="1:5" x14ac:dyDescent="0.3">
      <c r="A16" s="60"/>
    </row>
    <row r="17" spans="1:5" x14ac:dyDescent="0.3">
      <c r="A17" s="60"/>
    </row>
    <row r="18" spans="1:5" x14ac:dyDescent="0.3">
      <c r="A18" s="60"/>
    </row>
    <row r="20" spans="1:5" x14ac:dyDescent="0.3">
      <c r="A20" t="s">
        <v>446</v>
      </c>
    </row>
    <row r="21" spans="1:5" x14ac:dyDescent="0.3">
      <c r="A21" t="s">
        <v>443</v>
      </c>
      <c r="B21" t="s">
        <v>439</v>
      </c>
      <c r="C21" t="s">
        <v>440</v>
      </c>
      <c r="D21" t="s">
        <v>441</v>
      </c>
      <c r="E21" t="s">
        <v>442</v>
      </c>
    </row>
    <row r="22" spans="1:5" x14ac:dyDescent="0.3">
      <c r="A22" s="60" t="s">
        <v>169</v>
      </c>
      <c r="B22">
        <v>0</v>
      </c>
      <c r="C22">
        <v>0</v>
      </c>
      <c r="D22">
        <v>0.25</v>
      </c>
      <c r="E22">
        <v>10</v>
      </c>
    </row>
    <row r="23" spans="1:5" x14ac:dyDescent="0.3">
      <c r="A23" s="60" t="s">
        <v>170</v>
      </c>
      <c r="B23">
        <v>0.25</v>
      </c>
      <c r="C23">
        <f>10-0.15</f>
        <v>9.85</v>
      </c>
      <c r="D23">
        <v>0.9</v>
      </c>
      <c r="E23">
        <v>0.15</v>
      </c>
    </row>
    <row r="24" spans="1:5" x14ac:dyDescent="0.3">
      <c r="A24" s="60" t="s">
        <v>171</v>
      </c>
      <c r="B24">
        <f>0.25+0.9+2</f>
        <v>3.15</v>
      </c>
      <c r="C24">
        <f>+C23</f>
        <v>9.85</v>
      </c>
      <c r="D24">
        <v>1.1000000000000001</v>
      </c>
      <c r="E24">
        <v>0.15</v>
      </c>
    </row>
    <row r="25" spans="1:5" x14ac:dyDescent="0.3">
      <c r="A25" s="60" t="s">
        <v>172</v>
      </c>
      <c r="B25">
        <f>+B24+0.25+2</f>
        <v>5.4</v>
      </c>
      <c r="C25">
        <f>+C24</f>
        <v>9.85</v>
      </c>
      <c r="D25">
        <v>1.25</v>
      </c>
      <c r="E25">
        <v>0.15</v>
      </c>
    </row>
    <row r="26" spans="1:5" x14ac:dyDescent="0.3">
      <c r="A26" s="60" t="s">
        <v>173</v>
      </c>
      <c r="B26">
        <f>+B25+D25</f>
        <v>6.65</v>
      </c>
      <c r="C26">
        <v>0</v>
      </c>
      <c r="D26">
        <v>0.25</v>
      </c>
      <c r="E26">
        <v>10</v>
      </c>
    </row>
    <row r="27" spans="1:5" x14ac:dyDescent="0.3">
      <c r="A27" s="60" t="s">
        <v>174</v>
      </c>
      <c r="B27">
        <f>+B25</f>
        <v>5.4</v>
      </c>
      <c r="C27">
        <v>0</v>
      </c>
      <c r="D27">
        <v>1.25</v>
      </c>
      <c r="E27">
        <v>0.15</v>
      </c>
    </row>
    <row r="28" spans="1:5" x14ac:dyDescent="0.3">
      <c r="A28" s="60" t="s">
        <v>175</v>
      </c>
      <c r="B28">
        <f>+B24</f>
        <v>3.15</v>
      </c>
      <c r="C28">
        <v>0</v>
      </c>
      <c r="D28">
        <v>1.1000000000000001</v>
      </c>
      <c r="E28">
        <v>0.15</v>
      </c>
    </row>
    <row r="29" spans="1:5" x14ac:dyDescent="0.3">
      <c r="A29" s="60" t="s">
        <v>176</v>
      </c>
      <c r="B29">
        <v>0.25</v>
      </c>
      <c r="C29">
        <v>0</v>
      </c>
      <c r="D29">
        <v>0.9</v>
      </c>
      <c r="E29">
        <v>0.15</v>
      </c>
    </row>
    <row r="30" spans="1:5" x14ac:dyDescent="0.3">
      <c r="A30" s="60" t="s">
        <v>177</v>
      </c>
      <c r="B30">
        <v>0.25</v>
      </c>
      <c r="C30">
        <f>2.075+1.925-0.15</f>
        <v>3.85</v>
      </c>
      <c r="D30">
        <v>2.5</v>
      </c>
      <c r="E30">
        <v>0.15</v>
      </c>
    </row>
    <row r="31" spans="1:5" x14ac:dyDescent="0.3">
      <c r="A31" s="60" t="s">
        <v>178</v>
      </c>
      <c r="B31">
        <f>+B30</f>
        <v>0.25</v>
      </c>
      <c r="C31">
        <f>10-C30-0.15</f>
        <v>6</v>
      </c>
      <c r="D31">
        <v>2.5</v>
      </c>
      <c r="E31">
        <v>0.15</v>
      </c>
    </row>
    <row r="32" spans="1:5" x14ac:dyDescent="0.3">
      <c r="A32" s="60" t="s">
        <v>204</v>
      </c>
      <c r="B32">
        <f>0.25+0.9+2+1.1</f>
        <v>4.25</v>
      </c>
      <c r="C32">
        <f>10-2.075</f>
        <v>7.9249999999999998</v>
      </c>
      <c r="D32">
        <v>0.25</v>
      </c>
      <c r="E32">
        <v>2.0750000000000002</v>
      </c>
    </row>
    <row r="33" spans="1:5" x14ac:dyDescent="0.3">
      <c r="A33" s="60" t="s">
        <v>205</v>
      </c>
      <c r="B33">
        <f>+B26-2.35</f>
        <v>4.3000000000000007</v>
      </c>
      <c r="C33">
        <f>+C31</f>
        <v>6</v>
      </c>
      <c r="D33">
        <v>2.35</v>
      </c>
      <c r="E33">
        <v>0.15</v>
      </c>
    </row>
    <row r="34" spans="1:5" x14ac:dyDescent="0.3">
      <c r="A34" s="60" t="s">
        <v>206</v>
      </c>
      <c r="B34">
        <f>+B33</f>
        <v>4.3000000000000007</v>
      </c>
      <c r="C34">
        <f>+C30</f>
        <v>3.85</v>
      </c>
      <c r="D34">
        <v>2.35</v>
      </c>
      <c r="E34">
        <v>0.15</v>
      </c>
    </row>
    <row r="35" spans="1:5" x14ac:dyDescent="0.3">
      <c r="A35" s="60" t="s">
        <v>207</v>
      </c>
      <c r="B35">
        <f>+B28+D28</f>
        <v>4.25</v>
      </c>
      <c r="C35">
        <v>0</v>
      </c>
      <c r="D35">
        <v>0.15</v>
      </c>
      <c r="E35">
        <v>2.0750000000000002</v>
      </c>
    </row>
    <row r="36" spans="1:5" x14ac:dyDescent="0.3">
      <c r="A36" s="60" t="s">
        <v>208</v>
      </c>
      <c r="B36">
        <f>0.25+2.5+0.9</f>
        <v>3.65</v>
      </c>
      <c r="C36">
        <f>+C31+E31</f>
        <v>6.15</v>
      </c>
      <c r="D36">
        <v>0.15</v>
      </c>
      <c r="E36">
        <v>1.925</v>
      </c>
    </row>
    <row r="37" spans="1:5" x14ac:dyDescent="0.3">
      <c r="A37" s="60" t="s">
        <v>209</v>
      </c>
      <c r="B37">
        <f>+B34</f>
        <v>4.3000000000000007</v>
      </c>
      <c r="C37">
        <f>+C34+E34</f>
        <v>4</v>
      </c>
      <c r="D37">
        <v>0.15</v>
      </c>
      <c r="E37">
        <v>1.1000000000000001</v>
      </c>
    </row>
    <row r="38" spans="1:5" x14ac:dyDescent="0.3">
      <c r="A38" s="60" t="s">
        <v>210</v>
      </c>
      <c r="B38">
        <f>+B35-0.45</f>
        <v>3.8</v>
      </c>
      <c r="C38">
        <f>2.075-0.15</f>
        <v>1.9250000000000003</v>
      </c>
      <c r="D38">
        <v>0.45</v>
      </c>
      <c r="E38">
        <v>0.15</v>
      </c>
    </row>
    <row r="39" spans="1:5" x14ac:dyDescent="0.3">
      <c r="A39" s="60" t="s">
        <v>211</v>
      </c>
      <c r="B39">
        <f>+B30+2.5+0.9</f>
        <v>3.65</v>
      </c>
      <c r="C39">
        <f>+C38</f>
        <v>1.9250000000000003</v>
      </c>
      <c r="D39">
        <v>0.15</v>
      </c>
      <c r="E39">
        <v>1.925</v>
      </c>
    </row>
    <row r="40" spans="1:5" x14ac:dyDescent="0.3">
      <c r="A40" s="60" t="s">
        <v>212</v>
      </c>
      <c r="B40">
        <f>+B31+2.5+0.9</f>
        <v>3.65</v>
      </c>
      <c r="C40">
        <f>+C31</f>
        <v>6</v>
      </c>
      <c r="D40">
        <v>0.85</v>
      </c>
      <c r="E40">
        <v>0.15</v>
      </c>
    </row>
    <row r="41" spans="1:5" x14ac:dyDescent="0.3">
      <c r="A41" s="60" t="s">
        <v>213</v>
      </c>
      <c r="B41">
        <f>+B40</f>
        <v>3.65</v>
      </c>
      <c r="C41">
        <f>+C30</f>
        <v>3.85</v>
      </c>
      <c r="D41">
        <v>0.85</v>
      </c>
      <c r="E41">
        <v>0.15</v>
      </c>
    </row>
    <row r="42" spans="1:5" x14ac:dyDescent="0.3">
      <c r="A42" s="60" t="s">
        <v>214</v>
      </c>
      <c r="B42">
        <f>+B38</f>
        <v>3.8</v>
      </c>
      <c r="C42">
        <f>10-2.075+0.15</f>
        <v>8.0749999999999993</v>
      </c>
      <c r="D42">
        <v>0.85</v>
      </c>
      <c r="E42">
        <v>0.15</v>
      </c>
    </row>
    <row r="43" spans="1:5" x14ac:dyDescent="0.3">
      <c r="A43" s="60"/>
    </row>
    <row r="44" spans="1:5" x14ac:dyDescent="0.3">
      <c r="A44" s="60"/>
    </row>
    <row r="45" spans="1:5" x14ac:dyDescent="0.3">
      <c r="A45" s="60"/>
    </row>
    <row r="46" spans="1:5" x14ac:dyDescent="0.3">
      <c r="A46" s="60"/>
    </row>
  </sheetData>
  <phoneticPr fontId="2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20-12-2023</vt:lpstr>
      <vt:lpstr>Analisis_Estructural</vt:lpstr>
      <vt:lpstr>Autocad</vt:lpstr>
      <vt:lpstr>'20-12-2023'!Área_de_impresión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cueto</dc:creator>
  <cp:keywords/>
  <dc:description/>
  <cp:lastModifiedBy>richard cueto</cp:lastModifiedBy>
  <cp:revision/>
  <dcterms:created xsi:type="dcterms:W3CDTF">2023-12-20T03:22:57Z</dcterms:created>
  <dcterms:modified xsi:type="dcterms:W3CDTF">2024-01-14T18:38:15Z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0-bc88714345d2_Enabled">
    <vt:lpwstr>true</vt:lpwstr>
  </property>
  <property fmtid="{D5CDD505-2E9C-101B-9397-08002B2CF9AE}" pid="3" name="MSIP_Label_defa4170-0d19-0005-0000-bc88714345d2_SetDate">
    <vt:lpwstr>2024-01-05T06:05:31Z</vt:lpwstr>
  </property>
  <property fmtid="{D5CDD505-2E9C-101B-9397-08002B2CF9AE}" pid="4" name="MSIP_Label_defa4170-0d19-0005-0000-bc88714345d2_Method">
    <vt:lpwstr>Privileged</vt:lpwstr>
  </property>
  <property fmtid="{D5CDD505-2E9C-101B-9397-08002B2CF9AE}" pid="5" name="MSIP_Label_defa4170-0d19-0005-0000-bc88714345d2_Name">
    <vt:lpwstr>defa4170-0d19-0005-0000-bc88714345d2</vt:lpwstr>
  </property>
  <property fmtid="{D5CDD505-2E9C-101B-9397-08002B2CF9AE}" pid="6" name="MSIP_Label_defa4170-0d19-0005-0000-bc88714345d2_SiteId">
    <vt:lpwstr>52baa9c9-9f8d-4af9-8d7a-413f2a51b222</vt:lpwstr>
  </property>
  <property fmtid="{D5CDD505-2E9C-101B-9397-08002B2CF9AE}" pid="7" name="MSIP_Label_defa4170-0d19-0005-0000-bc88714345d2_ActionId">
    <vt:lpwstr>8fc66f3c-33aa-42a6-91da-eb3f76b958f6</vt:lpwstr>
  </property>
  <property fmtid="{D5CDD505-2E9C-101B-9397-08002B2CF9AE}" pid="8" name="MSIP_Label_defa4170-0d19-0005-0000-bc88714345d2_ContentBits">
    <vt:lpwstr>0</vt:lpwstr>
  </property>
</Properties>
</file>