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h\Desktop\"/>
    </mc:Choice>
  </mc:AlternateContent>
  <xr:revisionPtr revIDLastSave="0" documentId="8_{B78B1669-B159-43E8-89B1-DA507499CC8F}" xr6:coauthVersionLast="47" xr6:coauthVersionMax="47" xr10:uidLastSave="{00000000-0000-0000-0000-000000000000}"/>
  <bookViews>
    <workbookView xWindow="4800" yWindow="1680" windowWidth="29400" windowHeight="15576" xr2:uid="{67E36A24-5F40-4533-A317-2E2978363AFB}"/>
  </bookViews>
  <sheets>
    <sheet name="Q4 2024 Premium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60" i="1" l="1"/>
  <c r="N392" i="1"/>
  <c r="M392" i="1"/>
  <c r="L392" i="1"/>
  <c r="J392" i="1"/>
  <c r="N378" i="1"/>
  <c r="M378" i="1"/>
  <c r="L378" i="1"/>
  <c r="J378" i="1"/>
  <c r="N360" i="1"/>
  <c r="M360" i="1"/>
  <c r="L360" i="1"/>
  <c r="B359" i="1"/>
  <c r="B358" i="1"/>
  <c r="B357" i="1"/>
  <c r="B356" i="1"/>
  <c r="B377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91" i="1"/>
  <c r="B334" i="1"/>
  <c r="B390" i="1"/>
  <c r="B333" i="1"/>
  <c r="B389" i="1"/>
  <c r="B332" i="1"/>
  <c r="B331" i="1"/>
  <c r="B330" i="1"/>
  <c r="B329" i="1"/>
  <c r="B328" i="1"/>
  <c r="B327" i="1"/>
  <c r="B326" i="1"/>
  <c r="B325" i="1"/>
  <c r="B324" i="1"/>
  <c r="B323" i="1"/>
  <c r="B388" i="1"/>
  <c r="B376" i="1"/>
  <c r="B322" i="1"/>
  <c r="B321" i="1"/>
  <c r="B320" i="1"/>
  <c r="B319" i="1"/>
  <c r="B318" i="1"/>
  <c r="B317" i="1"/>
  <c r="B316" i="1"/>
  <c r="B315" i="1"/>
  <c r="B314" i="1"/>
  <c r="B313" i="1"/>
  <c r="B375" i="1"/>
  <c r="B312" i="1"/>
  <c r="B311" i="1"/>
  <c r="B310" i="1"/>
  <c r="B309" i="1"/>
  <c r="B308" i="1"/>
  <c r="B374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373" i="1"/>
  <c r="B293" i="1"/>
  <c r="B387" i="1"/>
  <c r="B292" i="1"/>
  <c r="B386" i="1"/>
  <c r="B291" i="1"/>
  <c r="B290" i="1"/>
  <c r="B289" i="1"/>
  <c r="B288" i="1"/>
  <c r="B287" i="1"/>
  <c r="B286" i="1"/>
  <c r="B285" i="1"/>
  <c r="B284" i="1"/>
  <c r="B283" i="1"/>
  <c r="B385" i="1"/>
  <c r="B384" i="1"/>
  <c r="B383" i="1"/>
  <c r="B382" i="1"/>
  <c r="B381" i="1"/>
  <c r="B372" i="1"/>
  <c r="B371" i="1"/>
  <c r="B370" i="1"/>
  <c r="B369" i="1"/>
  <c r="B368" i="1"/>
  <c r="B367" i="1"/>
  <c r="B366" i="1"/>
  <c r="B365" i="1"/>
  <c r="B380" i="1"/>
  <c r="B364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363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362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K340" i="1"/>
  <c r="K339" i="1"/>
  <c r="K389" i="1"/>
  <c r="K386" i="1"/>
  <c r="K364" i="1"/>
  <c r="K272" i="1"/>
  <c r="K266" i="1"/>
  <c r="K223" i="1"/>
  <c r="K200" i="1"/>
  <c r="K169" i="1"/>
  <c r="K153" i="1"/>
  <c r="K128" i="1"/>
  <c r="K338" i="1"/>
  <c r="K201" i="1"/>
  <c r="K129" i="1"/>
  <c r="K115" i="1"/>
  <c r="K260" i="1"/>
  <c r="K251" i="1"/>
  <c r="K111" i="1"/>
  <c r="K76" i="1"/>
  <c r="K342" i="1"/>
  <c r="K278" i="1"/>
  <c r="K264" i="1"/>
  <c r="K344" i="1"/>
  <c r="K318" i="1"/>
  <c r="K291" i="1"/>
  <c r="K46" i="1"/>
  <c r="K345" i="1"/>
  <c r="K252" i="1"/>
  <c r="K171" i="1"/>
  <c r="K44" i="1"/>
  <c r="K286" i="1"/>
  <c r="K194" i="1"/>
  <c r="K42" i="1"/>
  <c r="K14" i="1"/>
  <c r="K211" i="1"/>
  <c r="K99" i="1"/>
  <c r="K341" i="1"/>
  <c r="K390" i="1"/>
  <c r="K308" i="1"/>
  <c r="K195" i="1"/>
  <c r="K113" i="1"/>
  <c r="K26" i="1"/>
  <c r="K9" i="1"/>
  <c r="K391" i="1"/>
  <c r="K312" i="1"/>
  <c r="K263" i="1"/>
  <c r="K242" i="1"/>
  <c r="K74" i="1"/>
  <c r="K373" i="1"/>
  <c r="K18" i="1"/>
  <c r="K285" i="1"/>
  <c r="K367" i="1"/>
  <c r="K366" i="1"/>
  <c r="K225" i="1"/>
  <c r="K290" i="1"/>
  <c r="K370" i="1"/>
  <c r="K124" i="1"/>
  <c r="K120" i="1"/>
  <c r="K78" i="1"/>
  <c r="K24" i="1"/>
  <c r="K333" i="1"/>
  <c r="K231" i="1"/>
  <c r="K207" i="1"/>
  <c r="K150" i="1"/>
  <c r="K121" i="1"/>
  <c r="K56" i="1"/>
  <c r="K43" i="1"/>
  <c r="K351" i="1"/>
  <c r="K375" i="1"/>
  <c r="K309" i="1"/>
  <c r="K98" i="1"/>
  <c r="K349" i="1"/>
  <c r="K334" i="1"/>
  <c r="K70" i="1"/>
  <c r="K59" i="1"/>
  <c r="K28" i="1"/>
  <c r="K310" i="1"/>
  <c r="K97" i="1"/>
  <c r="K96" i="1"/>
  <c r="K186" i="1"/>
  <c r="K41" i="1"/>
  <c r="K33" i="1"/>
  <c r="K337" i="1"/>
  <c r="K335" i="1"/>
  <c r="K323" i="1"/>
  <c r="K219" i="1"/>
  <c r="K347" i="1"/>
  <c r="K237" i="1"/>
  <c r="K362" i="1"/>
  <c r="K378" i="1" s="1"/>
  <c r="K86" i="1"/>
  <c r="K369" i="1"/>
  <c r="K184" i="1"/>
  <c r="K77" i="1"/>
  <c r="K142" i="1"/>
  <c r="K350" i="1"/>
  <c r="K348" i="1"/>
  <c r="K175" i="1"/>
  <c r="K126" i="1"/>
  <c r="K112" i="1"/>
  <c r="K85" i="1"/>
  <c r="K365" i="1"/>
  <c r="K270" i="1"/>
  <c r="K155" i="1"/>
  <c r="K130" i="1"/>
  <c r="K284" i="1"/>
  <c r="K204" i="1"/>
  <c r="K60" i="1"/>
  <c r="K311" i="1"/>
  <c r="K226" i="1"/>
  <c r="K220" i="1"/>
  <c r="K202" i="1"/>
  <c r="K122" i="1"/>
  <c r="K58" i="1"/>
  <c r="K57" i="1"/>
  <c r="K292" i="1"/>
  <c r="K271" i="1"/>
  <c r="K240" i="1"/>
  <c r="K146" i="1"/>
  <c r="K324" i="1"/>
  <c r="K319" i="1"/>
  <c r="K208" i="1"/>
  <c r="K166" i="1"/>
  <c r="K138" i="1"/>
  <c r="K119" i="1"/>
  <c r="K352" i="1"/>
  <c r="K322" i="1"/>
  <c r="K321" i="1"/>
  <c r="K383" i="1"/>
  <c r="K158" i="1"/>
  <c r="K127" i="1"/>
  <c r="K94" i="1"/>
  <c r="K7" i="1"/>
  <c r="K4" i="1"/>
  <c r="K255" i="1"/>
  <c r="K213" i="1"/>
  <c r="K168" i="1"/>
  <c r="K161" i="1"/>
  <c r="K68" i="1"/>
  <c r="K15" i="1"/>
  <c r="K382" i="1"/>
  <c r="K222" i="1"/>
  <c r="K191" i="1"/>
  <c r="K244" i="1"/>
  <c r="K31" i="1"/>
  <c r="K117" i="1"/>
  <c r="K116" i="1"/>
  <c r="K95" i="1"/>
  <c r="K5" i="1"/>
  <c r="K108" i="1"/>
  <c r="K80" i="1"/>
  <c r="K313" i="1"/>
  <c r="K234" i="1"/>
  <c r="K181" i="1"/>
  <c r="K154" i="1"/>
  <c r="K354" i="1"/>
  <c r="K353" i="1"/>
  <c r="K203" i="1"/>
  <c r="K22" i="1"/>
  <c r="K187" i="1"/>
  <c r="K160" i="1"/>
  <c r="K156" i="1"/>
  <c r="K144" i="1"/>
  <c r="K65" i="1"/>
  <c r="K19" i="1"/>
  <c r="K336" i="1"/>
  <c r="K293" i="1"/>
  <c r="K276" i="1"/>
  <c r="K88" i="1"/>
  <c r="K53" i="1"/>
  <c r="K239" i="1"/>
  <c r="K162" i="1"/>
  <c r="K82" i="1"/>
  <c r="K73" i="1"/>
  <c r="K295" i="1"/>
  <c r="K140" i="1"/>
  <c r="K72" i="1"/>
  <c r="K37" i="1"/>
  <c r="K376" i="1"/>
  <c r="K133" i="1"/>
  <c r="K346" i="1"/>
  <c r="K253" i="1"/>
  <c r="K232" i="1"/>
  <c r="K173" i="1"/>
  <c r="K109" i="1"/>
  <c r="K229" i="1"/>
  <c r="K206" i="1"/>
  <c r="K131" i="1"/>
  <c r="K25" i="1"/>
  <c r="K283" i="1"/>
  <c r="K371" i="1"/>
  <c r="K151" i="1"/>
  <c r="K16" i="1"/>
  <c r="K241" i="1"/>
  <c r="K176" i="1"/>
  <c r="K172" i="1"/>
  <c r="K170" i="1"/>
  <c r="K167" i="1"/>
  <c r="K89" i="1"/>
  <c r="K21" i="1"/>
  <c r="K326" i="1"/>
  <c r="K269" i="1"/>
  <c r="K262" i="1"/>
  <c r="K280" i="1"/>
  <c r="K149" i="1"/>
  <c r="K91" i="1"/>
  <c r="K75" i="1"/>
  <c r="K385" i="1"/>
  <c r="K381" i="1"/>
  <c r="K179" i="1"/>
  <c r="K66" i="1"/>
  <c r="K54" i="1"/>
  <c r="K279" i="1"/>
  <c r="K261" i="1"/>
  <c r="K197" i="1"/>
  <c r="K157" i="1"/>
  <c r="K101" i="1"/>
  <c r="K13" i="1"/>
  <c r="K141" i="1"/>
  <c r="K132" i="1"/>
  <c r="K301" i="1"/>
  <c r="K300" i="1"/>
  <c r="K282" i="1"/>
  <c r="K281" i="1"/>
  <c r="K265" i="1"/>
  <c r="K245" i="1"/>
  <c r="K177" i="1"/>
  <c r="K145" i="1"/>
  <c r="K134" i="1"/>
  <c r="K38" i="1"/>
  <c r="K287" i="1"/>
  <c r="K384" i="1"/>
  <c r="K243" i="1"/>
  <c r="K79" i="1"/>
  <c r="K71" i="1"/>
  <c r="K40" i="1"/>
  <c r="K221" i="1"/>
  <c r="K182" i="1"/>
  <c r="K20" i="1"/>
  <c r="K296" i="1"/>
  <c r="K148" i="1"/>
  <c r="K110" i="1"/>
  <c r="K329" i="1"/>
  <c r="K238" i="1"/>
  <c r="K235" i="1"/>
  <c r="K36" i="1"/>
  <c r="K388" i="1"/>
  <c r="K92" i="1"/>
  <c r="K49" i="1"/>
  <c r="K48" i="1"/>
  <c r="K343" i="1"/>
  <c r="K331" i="1"/>
  <c r="K327" i="1"/>
  <c r="K297" i="1"/>
  <c r="K273" i="1"/>
  <c r="K90" i="1"/>
  <c r="K23" i="1"/>
  <c r="K12" i="1"/>
  <c r="K328" i="1"/>
  <c r="K305" i="1"/>
  <c r="K304" i="1"/>
  <c r="K298" i="1"/>
  <c r="K294" i="1"/>
  <c r="K368" i="1"/>
  <c r="K67" i="1"/>
  <c r="K152" i="1"/>
  <c r="K125" i="1"/>
  <c r="K325" i="1"/>
  <c r="K274" i="1"/>
  <c r="K228" i="1"/>
  <c r="K17" i="1"/>
  <c r="K11" i="1"/>
  <c r="K268" i="1"/>
  <c r="K256" i="1"/>
  <c r="K164" i="1"/>
  <c r="K136" i="1"/>
  <c r="K356" i="1"/>
  <c r="K257" i="1"/>
  <c r="K254" i="1"/>
  <c r="K137" i="1"/>
  <c r="K51" i="1"/>
  <c r="K3" i="1"/>
  <c r="K380" i="1"/>
  <c r="K392" i="1" s="1"/>
  <c r="K29" i="1"/>
  <c r="K307" i="1"/>
  <c r="K306" i="1"/>
  <c r="K289" i="1"/>
  <c r="K267" i="1"/>
  <c r="K118" i="1"/>
  <c r="K159" i="1"/>
  <c r="K259" i="1"/>
  <c r="K247" i="1"/>
  <c r="K198" i="1"/>
  <c r="K93" i="1"/>
  <c r="K47" i="1"/>
  <c r="K39" i="1"/>
  <c r="K314" i="1"/>
  <c r="K210" i="1"/>
  <c r="K192" i="1"/>
  <c r="K180" i="1"/>
  <c r="K165" i="1"/>
  <c r="K163" i="1"/>
  <c r="K8" i="1"/>
  <c r="K358" i="1"/>
  <c r="K372" i="1"/>
  <c r="K275" i="1"/>
  <c r="K209" i="1"/>
  <c r="K190" i="1"/>
  <c r="K63" i="1"/>
  <c r="K114" i="1"/>
  <c r="K55" i="1"/>
  <c r="K10" i="1"/>
  <c r="K2" i="1"/>
  <c r="K360" i="1" s="1"/>
  <c r="K320" i="1"/>
  <c r="K30" i="1"/>
  <c r="K316" i="1"/>
  <c r="K303" i="1"/>
  <c r="K302" i="1"/>
  <c r="K299" i="1"/>
  <c r="K387" i="1"/>
  <c r="K233" i="1"/>
  <c r="K363" i="1"/>
  <c r="K215" i="1"/>
  <c r="K45" i="1"/>
  <c r="K359" i="1"/>
  <c r="K277" i="1"/>
  <c r="K193" i="1"/>
  <c r="K104" i="1"/>
  <c r="K103" i="1"/>
  <c r="K87" i="1"/>
  <c r="K62" i="1"/>
  <c r="K35" i="1"/>
  <c r="K32" i="1"/>
  <c r="K357" i="1"/>
  <c r="K355" i="1"/>
  <c r="K212" i="1"/>
  <c r="K178" i="1"/>
  <c r="K50" i="1"/>
  <c r="K227" i="1"/>
  <c r="K224" i="1"/>
  <c r="K214" i="1"/>
  <c r="K205" i="1"/>
  <c r="K188" i="1"/>
  <c r="K84" i="1"/>
  <c r="K69" i="1"/>
  <c r="K34" i="1"/>
  <c r="K330" i="1"/>
  <c r="K374" i="1"/>
  <c r="K236" i="1"/>
  <c r="K189" i="1"/>
  <c r="K123" i="1"/>
  <c r="K83" i="1"/>
  <c r="K27" i="1"/>
  <c r="K6" i="1"/>
  <c r="K288" i="1"/>
  <c r="K183" i="1"/>
  <c r="K147" i="1"/>
  <c r="K64" i="1"/>
  <c r="K61" i="1"/>
  <c r="K332" i="1"/>
  <c r="K248" i="1"/>
  <c r="K217" i="1"/>
  <c r="K315" i="1"/>
  <c r="K250" i="1"/>
  <c r="K246" i="1"/>
  <c r="K199" i="1"/>
  <c r="K143" i="1"/>
  <c r="K216" i="1"/>
  <c r="K139" i="1"/>
  <c r="K107" i="1"/>
  <c r="K106" i="1"/>
  <c r="K105" i="1"/>
  <c r="K81" i="1"/>
  <c r="K100" i="1"/>
  <c r="K317" i="1"/>
  <c r="K249" i="1"/>
  <c r="K230" i="1"/>
  <c r="K218" i="1"/>
  <c r="K185" i="1"/>
  <c r="K135" i="1"/>
  <c r="K102" i="1"/>
  <c r="K52" i="1"/>
  <c r="K377" i="1"/>
  <c r="K258" i="1"/>
  <c r="K196" i="1"/>
  <c r="K174" i="1"/>
</calcChain>
</file>

<file path=xl/sharedStrings.xml><?xml version="1.0" encoding="utf-8"?>
<sst xmlns="http://schemas.openxmlformats.org/spreadsheetml/2006/main" count="1172" uniqueCount="408">
  <si>
    <t>policyNumber</t>
  </si>
  <si>
    <t>policyTypeName</t>
  </si>
  <si>
    <t>effectiveDate</t>
  </si>
  <si>
    <t>expirationDate</t>
  </si>
  <si>
    <t>TotalCoverageALimit</t>
  </si>
  <si>
    <t>TotalCoverageBLimit</t>
  </si>
  <si>
    <t>TotalCoverageCLimit</t>
  </si>
  <si>
    <t>TotalCoverageLLimit</t>
  </si>
  <si>
    <t>totalCoverageTIVItems</t>
  </si>
  <si>
    <t>itemInforcePremium</t>
  </si>
  <si>
    <t>TotalPropertyPremium</t>
  </si>
  <si>
    <t>totalliabilitypremium</t>
  </si>
  <si>
    <t>Homeowners</t>
  </si>
  <si>
    <t>11-1 H 21</t>
  </si>
  <si>
    <t>11-2 C 03A</t>
  </si>
  <si>
    <t>11-4 N 06I</t>
  </si>
  <si>
    <t>Rental</t>
  </si>
  <si>
    <t>MENAID-2024-1223</t>
  </si>
  <si>
    <t>01-2 W 13B</t>
  </si>
  <si>
    <t>05-0 W 11</t>
  </si>
  <si>
    <t>08-2 H 09A</t>
  </si>
  <si>
    <t>11-1 V 05B</t>
  </si>
  <si>
    <t>11-2 L 19</t>
  </si>
  <si>
    <t>11-2 S 42</t>
  </si>
  <si>
    <t>11-4 C 02B</t>
  </si>
  <si>
    <t>MENAID-2022-1134</t>
  </si>
  <si>
    <t>05-0 S 04G</t>
  </si>
  <si>
    <t>03-0 L 07A</t>
  </si>
  <si>
    <t>Renters Property Policy</t>
  </si>
  <si>
    <t>06-0 I 20</t>
  </si>
  <si>
    <t>06-0 L 11C</t>
  </si>
  <si>
    <t>06-0 P 07A</t>
  </si>
  <si>
    <t>08-2 K 08B</t>
  </si>
  <si>
    <t>11-2 K 25</t>
  </si>
  <si>
    <t>08-2 M 15A</t>
  </si>
  <si>
    <t>11-2 D 21A</t>
  </si>
  <si>
    <t>11-4 B 02A</t>
  </si>
  <si>
    <t>11-4 F 16B</t>
  </si>
  <si>
    <t>MENAID-2022-1130</t>
  </si>
  <si>
    <t>11-2 K 35E</t>
  </si>
  <si>
    <t>11-4 B 08A</t>
  </si>
  <si>
    <t>MENAID-2023-1125</t>
  </si>
  <si>
    <t>02-0 E 13</t>
  </si>
  <si>
    <t>02-0 F 20C</t>
  </si>
  <si>
    <t>08-2 R 12B</t>
  </si>
  <si>
    <t>11-1 S 21C</t>
  </si>
  <si>
    <t>MENAID-2021-1095</t>
  </si>
  <si>
    <t>01-1 E 07E</t>
  </si>
  <si>
    <t>01-2 E 30B</t>
  </si>
  <si>
    <t>03-0 O 15</t>
  </si>
  <si>
    <t>08-1 W 03A</t>
  </si>
  <si>
    <t>11-2 A 04A</t>
  </si>
  <si>
    <t>11-2 T 35</t>
  </si>
  <si>
    <t>MENAID-2021-1165</t>
  </si>
  <si>
    <t>MENAID-2023-1119</t>
  </si>
  <si>
    <t>01-2 H 58B</t>
  </si>
  <si>
    <t>02-0 S 11</t>
  </si>
  <si>
    <t>03-0 P 12G</t>
  </si>
  <si>
    <t>11-2 A 04</t>
  </si>
  <si>
    <t>11-2 G 42</t>
  </si>
  <si>
    <t>11-2 K 21E</t>
  </si>
  <si>
    <t>11-2 R 17E</t>
  </si>
  <si>
    <t>11-2 S 15A</t>
  </si>
  <si>
    <t>01-2 S 63</t>
  </si>
  <si>
    <t>11-1 M 15B</t>
  </si>
  <si>
    <t>11-2 J 02D</t>
  </si>
  <si>
    <t>Secondary Homeowners</t>
  </si>
  <si>
    <t>MENAID-2024-1222</t>
  </si>
  <si>
    <t>Church</t>
  </si>
  <si>
    <t>MENAID-2024-1228</t>
  </si>
  <si>
    <t>01-2 G 30A</t>
  </si>
  <si>
    <t>01-2 H 60</t>
  </si>
  <si>
    <t>02-0 F 02A</t>
  </si>
  <si>
    <t>03-0 S 12</t>
  </si>
  <si>
    <t>06-0 D 12</t>
  </si>
  <si>
    <t>06-0 D 12A</t>
  </si>
  <si>
    <t>11-2 B 09C</t>
  </si>
  <si>
    <t>18-0 B 04C</t>
  </si>
  <si>
    <t>MENAID-2024-1231</t>
  </si>
  <si>
    <t>01-2 P 37D</t>
  </si>
  <si>
    <t>11-2 K 24</t>
  </si>
  <si>
    <t>08-1 W 03B</t>
  </si>
  <si>
    <t>11-2 T 25B</t>
  </si>
  <si>
    <t>MENAID-2021-1110</t>
  </si>
  <si>
    <t>MENAID-2021-1143</t>
  </si>
  <si>
    <t>MENAID-2021-1149</t>
  </si>
  <si>
    <t>MENAID-2021-1150</t>
  </si>
  <si>
    <t>MENAID-2022-1131</t>
  </si>
  <si>
    <t>01-2 F 12</t>
  </si>
  <si>
    <t>MENAID-2023-1094</t>
  </si>
  <si>
    <t>01-1 B 13A</t>
  </si>
  <si>
    <t>01-1 M 03</t>
  </si>
  <si>
    <t>02-0 B 06B</t>
  </si>
  <si>
    <t>07-0 S 09C</t>
  </si>
  <si>
    <t>02-0 F 20B</t>
  </si>
  <si>
    <t>11-2 A 14</t>
  </si>
  <si>
    <t>11-2 H 12B</t>
  </si>
  <si>
    <t>15-0 G 04E</t>
  </si>
  <si>
    <t>28-0 F 03F</t>
  </si>
  <si>
    <t>MENAID-2024-1229</t>
  </si>
  <si>
    <t>01-1 F 18G</t>
  </si>
  <si>
    <t>11-1 A 02</t>
  </si>
  <si>
    <t>11-1 E 09A</t>
  </si>
  <si>
    <t>11-1 N 22</t>
  </si>
  <si>
    <t>11-2 B 09B</t>
  </si>
  <si>
    <t>11-2 I 15</t>
  </si>
  <si>
    <t>MENAID-2022-1129</t>
  </si>
  <si>
    <t>01-2 L 26C</t>
  </si>
  <si>
    <t>01-2 R 31B</t>
  </si>
  <si>
    <t>04-0 M 03A</t>
  </si>
  <si>
    <t>11-2 D 20</t>
  </si>
  <si>
    <t>11-4 B 06A</t>
  </si>
  <si>
    <t>11-4 N 06L</t>
  </si>
  <si>
    <t>10-2 B 03C</t>
  </si>
  <si>
    <t>08-1 E 07A</t>
  </si>
  <si>
    <t>11-4 W 19A</t>
  </si>
  <si>
    <t>MENAID-2021-1098</t>
  </si>
  <si>
    <t>MENAID-2021-1154</t>
  </si>
  <si>
    <t>MENAID-2021-1155</t>
  </si>
  <si>
    <t>01-2 F 03F</t>
  </si>
  <si>
    <t>21-1 H 12B</t>
  </si>
  <si>
    <t>01-1 B 21C</t>
  </si>
  <si>
    <t>01-2 V 10</t>
  </si>
  <si>
    <t>08-2 H 20A</t>
  </si>
  <si>
    <t>11-4 I 02</t>
  </si>
  <si>
    <t>11-4 N 06E</t>
  </si>
  <si>
    <t>MENAID-2024-1225</t>
  </si>
  <si>
    <t>08-2 H 12</t>
  </si>
  <si>
    <t>11-1 B 33</t>
  </si>
  <si>
    <t>11-4 M 10B</t>
  </si>
  <si>
    <t>11-4 W 21</t>
  </si>
  <si>
    <t>01-1 Q 16</t>
  </si>
  <si>
    <t>01-2 A 02C</t>
  </si>
  <si>
    <t>11-2 S 21B</t>
  </si>
  <si>
    <t>15-0 C 09</t>
  </si>
  <si>
    <t>MENAID-2023-1110</t>
  </si>
  <si>
    <t>08-1 W 08A</t>
  </si>
  <si>
    <t>09-0 C 01</t>
  </si>
  <si>
    <t>02-0 M 04L</t>
  </si>
  <si>
    <t>24-0 T 02</t>
  </si>
  <si>
    <t>MENAID-2021-1114</t>
  </si>
  <si>
    <t>MENAID-2021-1141</t>
  </si>
  <si>
    <t>MENAID-2021-1152</t>
  </si>
  <si>
    <t>MENAID-2021-1153</t>
  </si>
  <si>
    <t>MENAID-2023-1117</t>
  </si>
  <si>
    <t>01-1 R 01</t>
  </si>
  <si>
    <t>01-2 C 04</t>
  </si>
  <si>
    <t>04-0 D 02</t>
  </si>
  <si>
    <t>14-0 S 20</t>
  </si>
  <si>
    <t>MENAID-2021-1139</t>
  </si>
  <si>
    <t>MENAID-2023-1116</t>
  </si>
  <si>
    <t>MENAID-2023-1120</t>
  </si>
  <si>
    <t>MENAID-2024-1196</t>
  </si>
  <si>
    <t>01-2 R 46</t>
  </si>
  <si>
    <t>01-2 S 14</t>
  </si>
  <si>
    <t>04-0 I 01</t>
  </si>
  <si>
    <t>MENAID-2023-1103</t>
  </si>
  <si>
    <t>01-2 J 12B</t>
  </si>
  <si>
    <t>11-2 T 32</t>
  </si>
  <si>
    <t>11-2 W 06</t>
  </si>
  <si>
    <t>MENAID-2023-1118</t>
  </si>
  <si>
    <t>07-0 C 03</t>
  </si>
  <si>
    <t>08-2 R 13A</t>
  </si>
  <si>
    <t>MENAID-2021-1133</t>
  </si>
  <si>
    <t>01-2 A 17</t>
  </si>
  <si>
    <t>11-1 R 02B</t>
  </si>
  <si>
    <t>11-2 N 03</t>
  </si>
  <si>
    <t>01-2 M 02M</t>
  </si>
  <si>
    <t>02-0 S 29C</t>
  </si>
  <si>
    <t>03-0 C 16</t>
  </si>
  <si>
    <t>11-3 F 15</t>
  </si>
  <si>
    <t>43-0 F 01</t>
  </si>
  <si>
    <t>MENAID-2021-1091</t>
  </si>
  <si>
    <t>01-2 L 17E</t>
  </si>
  <si>
    <t>08-2 H 05C</t>
  </si>
  <si>
    <t>08-2 P 06</t>
  </si>
  <si>
    <t>11-1 M 10</t>
  </si>
  <si>
    <t>11-3 S 06C</t>
  </si>
  <si>
    <t>11-4 S 01B</t>
  </si>
  <si>
    <t>18-0 R 03</t>
  </si>
  <si>
    <t>18-0 R 03A</t>
  </si>
  <si>
    <t>MENAID-2021-1146</t>
  </si>
  <si>
    <t>MENAID-2021-1147</t>
  </si>
  <si>
    <t>08-2 F 09</t>
  </si>
  <si>
    <t>08-2 M 02A</t>
  </si>
  <si>
    <t>01-1 S 04B</t>
  </si>
  <si>
    <t>05-0 W 03</t>
  </si>
  <si>
    <t>10-1 S 12</t>
  </si>
  <si>
    <t>11-2 D 18D</t>
  </si>
  <si>
    <t>11-4 N 12A</t>
  </si>
  <si>
    <t>18-0 L 01</t>
  </si>
  <si>
    <t>01-2 W 86A</t>
  </si>
  <si>
    <t>02-0 h 47a</t>
  </si>
  <si>
    <t>11-1 N 19A</t>
  </si>
  <si>
    <t>38-0 K 01</t>
  </si>
  <si>
    <t>43-0 S 04B</t>
  </si>
  <si>
    <t>03-0 B 13C</t>
  </si>
  <si>
    <t>04-0 F 05</t>
  </si>
  <si>
    <t>08-2 W 03D</t>
  </si>
  <si>
    <t>18-0 Q 08A</t>
  </si>
  <si>
    <t>11-4 P 21A</t>
  </si>
  <si>
    <t>11-4 Y 03</t>
  </si>
  <si>
    <t>MENAID-2023-1111</t>
  </si>
  <si>
    <t>01-2 A 50</t>
  </si>
  <si>
    <t>04-0 B 10</t>
  </si>
  <si>
    <t>11-1 F 14A</t>
  </si>
  <si>
    <t>11-1 H 03B</t>
  </si>
  <si>
    <t>11-1 H 12</t>
  </si>
  <si>
    <t>11-1 K 06A</t>
  </si>
  <si>
    <t>11-2 Z 02</t>
  </si>
  <si>
    <t>01-1 W 02B</t>
  </si>
  <si>
    <t>08-2 W 17</t>
  </si>
  <si>
    <t>28-0 F 03</t>
  </si>
  <si>
    <t>MENAID-2020-1001</t>
  </si>
  <si>
    <t>01-2 D 33</t>
  </si>
  <si>
    <t>08-2 C 20A</t>
  </si>
  <si>
    <t>11-2 H 05</t>
  </si>
  <si>
    <t>11-2 S 36</t>
  </si>
  <si>
    <t>06-0 R 11</t>
  </si>
  <si>
    <t>11-1 H 18A</t>
  </si>
  <si>
    <t>11-2 T 25A</t>
  </si>
  <si>
    <t>11-4 H 04C</t>
  </si>
  <si>
    <t>MENAID-2024-1201</t>
  </si>
  <si>
    <t>08-2 H 05B</t>
  </si>
  <si>
    <t>MENAID-2023-1102</t>
  </si>
  <si>
    <t>01-2 K 34</t>
  </si>
  <si>
    <t>02-0 W 13</t>
  </si>
  <si>
    <t>08-2 L 10</t>
  </si>
  <si>
    <t>MENAID-2021-1121</t>
  </si>
  <si>
    <t>02-0 W 14A</t>
  </si>
  <si>
    <t>03-0 O 04B</t>
  </si>
  <si>
    <t>10-2 L 06C</t>
  </si>
  <si>
    <t>11-2 W 19</t>
  </si>
  <si>
    <t>01-2 W 71</t>
  </si>
  <si>
    <t>03-0 S 26</t>
  </si>
  <si>
    <t>15-0 K 10</t>
  </si>
  <si>
    <t>MENAID-2021-1111</t>
  </si>
  <si>
    <t>MENAID-2024-1180</t>
  </si>
  <si>
    <t>01-2 A 11B</t>
  </si>
  <si>
    <t>02-0 H 23D</t>
  </si>
  <si>
    <t>08-2 P 05C</t>
  </si>
  <si>
    <t>10-1 H 02D</t>
  </si>
  <si>
    <t>10-2 C 03</t>
  </si>
  <si>
    <t>11-2 A 02</t>
  </si>
  <si>
    <t>01-2 B 47A</t>
  </si>
  <si>
    <t>11-2 G 29</t>
  </si>
  <si>
    <t>MENAID-2024-1218</t>
  </si>
  <si>
    <t>MENAID-2024-1219</t>
  </si>
  <si>
    <t>09-0 W 10</t>
  </si>
  <si>
    <t>11-1 N 25A</t>
  </si>
  <si>
    <t>11-2 T 28A</t>
  </si>
  <si>
    <t>MENAID-2022-1121</t>
  </si>
  <si>
    <t>03-0 C 18B</t>
  </si>
  <si>
    <t>06-0 P 10A</t>
  </si>
  <si>
    <t>01-1 E 07C</t>
  </si>
  <si>
    <t>04-0 R 05A</t>
  </si>
  <si>
    <t>08-1 D 12C</t>
  </si>
  <si>
    <t>08-1 D 12D</t>
  </si>
  <si>
    <t>01-2 G 21B</t>
  </si>
  <si>
    <t>11-3 Q 05A</t>
  </si>
  <si>
    <t>11-2 B 04C</t>
  </si>
  <si>
    <t>11-2 P 30B</t>
  </si>
  <si>
    <t>41-0 V 03J</t>
  </si>
  <si>
    <t>01-1 U 04</t>
  </si>
  <si>
    <t>02-0 N 12</t>
  </si>
  <si>
    <t>10-2 K 02F</t>
  </si>
  <si>
    <t>11-1 G 09A</t>
  </si>
  <si>
    <t>11-2 J 25A</t>
  </si>
  <si>
    <t>11-4 K 06D</t>
  </si>
  <si>
    <t>01-1 C 03</t>
  </si>
  <si>
    <t>01-1 E 12C</t>
  </si>
  <si>
    <t>04-0 P 04</t>
  </si>
  <si>
    <t>08-2 B 15D</t>
  </si>
  <si>
    <t>10-2 B 03B</t>
  </si>
  <si>
    <t>42-0 V 10A</t>
  </si>
  <si>
    <t>MENAID-2023-1096</t>
  </si>
  <si>
    <t>MENAID-2023-1097</t>
  </si>
  <si>
    <t>MENAID-2024-1217</t>
  </si>
  <si>
    <t>08-1 K 12</t>
  </si>
  <si>
    <t>08-2 J 10D</t>
  </si>
  <si>
    <t>11-1 F 07A</t>
  </si>
  <si>
    <t>11-2 H 09A</t>
  </si>
  <si>
    <t>MENAID-2023-1093</t>
  </si>
  <si>
    <t>MENAID-2023-1105</t>
  </si>
  <si>
    <t>08-2 R 03B</t>
  </si>
  <si>
    <t>11-2 Y 01B</t>
  </si>
  <si>
    <t>12-0 T 02B</t>
  </si>
  <si>
    <t>MENAID-2021-1106</t>
  </si>
  <si>
    <t>02-0 D 01</t>
  </si>
  <si>
    <t>02-0 D 01A</t>
  </si>
  <si>
    <t>08-1 T 03</t>
  </si>
  <si>
    <t>11-2 G 25A</t>
  </si>
  <si>
    <t>11-2 M 27C</t>
  </si>
  <si>
    <t>11-2 S 11C</t>
  </si>
  <si>
    <t>MENAID-2022-1115</t>
  </si>
  <si>
    <t>02-0 E 09B</t>
  </si>
  <si>
    <t>11-2 G 39</t>
  </si>
  <si>
    <t>MENAID-2021-1033</t>
  </si>
  <si>
    <t>08-2 C 08C</t>
  </si>
  <si>
    <t>10-1 B 26</t>
  </si>
  <si>
    <t>12-0 H 03A</t>
  </si>
  <si>
    <t>21-1 M 15B</t>
  </si>
  <si>
    <t>03-0 R 04P</t>
  </si>
  <si>
    <t>07-0 N 05B</t>
  </si>
  <si>
    <t>08-1 Z 01</t>
  </si>
  <si>
    <t>11-1 H 22</t>
  </si>
  <si>
    <t>MENAID-2024-1204</t>
  </si>
  <si>
    <t>MENAID-2024-1208</t>
  </si>
  <si>
    <t>08-2 M 12</t>
  </si>
  <si>
    <t>03-0 C 04C</t>
  </si>
  <si>
    <t>11-1 T 09</t>
  </si>
  <si>
    <t>24-0 W 02E</t>
  </si>
  <si>
    <t>03-0 R 04S</t>
  </si>
  <si>
    <t>03-0 U 01A</t>
  </si>
  <si>
    <t>11-2 V 13A</t>
  </si>
  <si>
    <t>MENAID-2024-1202</t>
  </si>
  <si>
    <t>11-2 M 27B</t>
  </si>
  <si>
    <t>MENAID-2023-1104</t>
  </si>
  <si>
    <t>MENAID-2024-1179</t>
  </si>
  <si>
    <t>MENAID-2024-1181</t>
  </si>
  <si>
    <t>01-2 G 38A</t>
  </si>
  <si>
    <t>01-2 P 04D</t>
  </si>
  <si>
    <t>11-1 W 31A</t>
  </si>
  <si>
    <t>04-0 W 05</t>
  </si>
  <si>
    <t>04-0 W 05A</t>
  </si>
  <si>
    <t>MENAID-2022-1113</t>
  </si>
  <si>
    <t>01-2 F 03C</t>
  </si>
  <si>
    <t>02-0 D 01C</t>
  </si>
  <si>
    <t>02-0 S 24C</t>
  </si>
  <si>
    <t>MENAID-2024-1168</t>
  </si>
  <si>
    <t>MENAID-2024-1205</t>
  </si>
  <si>
    <t>05-0 P 04A</t>
  </si>
  <si>
    <t>MENAID-2022-1089</t>
  </si>
  <si>
    <t>MENAID-2022-1118</t>
  </si>
  <si>
    <t>MENAID-2024-1211</t>
  </si>
  <si>
    <t>01-2 P 14A</t>
  </si>
  <si>
    <t>02-0 B 06C</t>
  </si>
  <si>
    <t>08-1 P 09</t>
  </si>
  <si>
    <t>08-2 W 03E</t>
  </si>
  <si>
    <t>11-2 H 05A</t>
  </si>
  <si>
    <t>11-2 T 11F</t>
  </si>
  <si>
    <t>MENAID-2024-1129</t>
  </si>
  <si>
    <t>01-2 D 05C</t>
  </si>
  <si>
    <t>03-0 C 04D</t>
  </si>
  <si>
    <t>08-1 M 14</t>
  </si>
  <si>
    <t>08-1 W 08</t>
  </si>
  <si>
    <t>25-2 B 04E</t>
  </si>
  <si>
    <t>MENAID-2021-1099</t>
  </si>
  <si>
    <t>11-2 S 05B</t>
  </si>
  <si>
    <t>24-0 C 02</t>
  </si>
  <si>
    <t>24-0 C 02A</t>
  </si>
  <si>
    <t>MENAID-2021-1063</t>
  </si>
  <si>
    <t>01-2 A 02D</t>
  </si>
  <si>
    <t>MENAID-2021-1112</t>
  </si>
  <si>
    <t>03-0 B 08E</t>
  </si>
  <si>
    <t>11-3 C 01</t>
  </si>
  <si>
    <t>11-4 R 18B</t>
  </si>
  <si>
    <t>MENAID-2022-1116</t>
  </si>
  <si>
    <t>MENAID-2024-1178</t>
  </si>
  <si>
    <t>01-1 L 06A</t>
  </si>
  <si>
    <t>01-2 E 27D</t>
  </si>
  <si>
    <t>07-0 P 01B</t>
  </si>
  <si>
    <t>11-2 B 23A</t>
  </si>
  <si>
    <t>MENAID-2022-1037</t>
  </si>
  <si>
    <t>MENAID-2024-1159</t>
  </si>
  <si>
    <t>MENAID-2024-1189</t>
  </si>
  <si>
    <t>05-0 S 04B</t>
  </si>
  <si>
    <t>11-2 J 02C</t>
  </si>
  <si>
    <t>01-1 S 15A</t>
  </si>
  <si>
    <t>01-2 P 11</t>
  </si>
  <si>
    <t>11-2 B 09D</t>
  </si>
  <si>
    <t>MENAID-2021-1090</t>
  </si>
  <si>
    <t>01-2 P 25</t>
  </si>
  <si>
    <t>11-1 H 09B</t>
  </si>
  <si>
    <t>11-4 G 10C</t>
  </si>
  <si>
    <t>MENAID-2024-1200</t>
  </si>
  <si>
    <t>01-2 R 02D</t>
  </si>
  <si>
    <t>MENAID-2021-1101</t>
  </si>
  <si>
    <t>MENAID-2023-1085</t>
  </si>
  <si>
    <t>MENAID-2024-1199</t>
  </si>
  <si>
    <t>11-4 R 20</t>
  </si>
  <si>
    <t>18-0 C 23</t>
  </si>
  <si>
    <t>MENAID-2024-1192</t>
  </si>
  <si>
    <t>03-0 B 20B</t>
  </si>
  <si>
    <t>07-0 F 15C</t>
  </si>
  <si>
    <t>11-4 F 24C</t>
  </si>
  <si>
    <t>11-4 N 07</t>
  </si>
  <si>
    <t>07-0 T 03F</t>
  </si>
  <si>
    <t>08-2 C 04C</t>
  </si>
  <si>
    <t>11-2 E 10</t>
  </si>
  <si>
    <t>MENAID-2024-1184</t>
  </si>
  <si>
    <t>08-2 B 23</t>
  </si>
  <si>
    <t>09-0 T 03</t>
  </si>
  <si>
    <t>11-1 G 21</t>
  </si>
  <si>
    <t>11-2 E 07B</t>
  </si>
  <si>
    <t>11-2 R 09C</t>
  </si>
  <si>
    <t>11-4 W 03A</t>
  </si>
  <si>
    <t>14-0 M 02</t>
  </si>
  <si>
    <t>20-0 K 02C</t>
  </si>
  <si>
    <t>MENAID-2021-1105</t>
  </si>
  <si>
    <t>MENAID-2024-1118</t>
  </si>
  <si>
    <t>MENAID-2024-1185</t>
  </si>
  <si>
    <t>MENAID-2024-1188</t>
  </si>
  <si>
    <t>Policy Number</t>
  </si>
  <si>
    <t>Risk State</t>
  </si>
  <si>
    <t>CA</t>
  </si>
  <si>
    <t>OR</t>
  </si>
  <si>
    <t>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</si>
</sst>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rgb="FFFFFFFF"/>
      <name val="Arial"/>
      <family val="2"/>
    </font>
    <font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9" fontId="18" fillId="33" borderId="0">
      <alignment horizontal="left"/>
    </xf>
    <xf numFmtId="49" fontId="18" fillId="33" borderId="0">
      <alignment horizontal="left"/>
    </xf>
    <xf numFmtId="49" fontId="19" fillId="0" borderId="0">
      <alignment horizontal="left"/>
    </xf>
  </cellStyleXfs>
  <cellXfs count="9">
    <xf numFmtId="0" fontId="0" fillId="0" borderId="0" xfId="0"/>
    <xf numFmtId="22" fontId="0" fillId="0" borderId="0" xfId="0" applyNumberFormat="1"/>
    <xf numFmtId="6" fontId="0" fillId="0" borderId="0" xfId="0" applyNumberFormat="1"/>
    <xf numFmtId="8" fontId="0" fillId="0" borderId="0" xfId="0" applyNumberFormat="1"/>
    <xf numFmtId="49" fontId="18" fillId="33" borderId="0" xfId="42">
      <alignment horizontal="left"/>
    </xf>
    <xf numFmtId="49" fontId="18" fillId="33" borderId="0" xfId="43">
      <alignment horizontal="left"/>
    </xf>
    <xf numFmtId="49" fontId="19" fillId="0" borderId="0" xfId="44">
      <alignment horizontal="left"/>
    </xf>
    <xf numFmtId="0" fontId="0" fillId="34" borderId="0" xfId="0" applyFill="1"/>
    <xf numFmtId="6" fontId="0" fillId="34" borderId="0" xfId="0" applyNumberFormat="1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_@" xfId="44" xr:uid="{CFC52FAE-F127-42EE-BED4-B0A08856E580}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er_Details_2" xfId="42" xr:uid="{081CE81D-C665-4AD7-B744-5407018F5B26}"/>
    <cellStyle name="header_Details_9" xfId="43" xr:uid="{D6ACF3DE-DADE-4DC6-8FE4-3B112659614F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991CF-A0AF-4056-A166-60525A3E02D4}">
  <dimension ref="A1:N392"/>
  <sheetViews>
    <sheetView tabSelected="1" workbookViewId="0">
      <selection activeCell="K378" sqref="K378"/>
    </sheetView>
  </sheetViews>
  <sheetFormatPr defaultRowHeight="14.4" x14ac:dyDescent="0.3"/>
  <cols>
    <col min="1" max="1" width="17" bestFit="1" customWidth="1"/>
    <col min="2" max="3" width="17" customWidth="1"/>
    <col min="4" max="4" width="20.77734375" bestFit="1" customWidth="1"/>
    <col min="5" max="6" width="14.33203125" bestFit="1" customWidth="1"/>
    <col min="7" max="8" width="17.6640625" bestFit="1" customWidth="1"/>
    <col min="9" max="9" width="20.77734375" customWidth="1"/>
    <col min="10" max="10" width="22" customWidth="1"/>
    <col min="11" max="11" width="25.77734375" customWidth="1"/>
    <col min="12" max="12" width="17.77734375" bestFit="1" customWidth="1"/>
    <col min="13" max="13" width="19.21875" bestFit="1" customWidth="1"/>
    <col min="14" max="14" width="17.5546875" bestFit="1" customWidth="1"/>
  </cols>
  <sheetData>
    <row r="1" spans="1:14" ht="15.6" x14ac:dyDescent="0.3">
      <c r="A1" t="s">
        <v>0</v>
      </c>
      <c r="B1" s="4" t="s">
        <v>403</v>
      </c>
      <c r="C1" s="5" t="s">
        <v>404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3">
      <c r="A2" t="s">
        <v>90</v>
      </c>
      <c r="B2" s="6" t="str">
        <f>HYPERLINK("https://mennonite.britecorepro.com/gateway?file=core.router&amp;method=routeEntity&amp;entity_type=policy&amp;entity_number=01-1 B 13A", "01-1 B 13A")</f>
        <v>01-1 B 13A</v>
      </c>
      <c r="C2" s="6" t="s">
        <v>405</v>
      </c>
      <c r="D2" t="s">
        <v>12</v>
      </c>
      <c r="E2" s="1">
        <v>45640</v>
      </c>
      <c r="F2" s="1">
        <v>46005</v>
      </c>
      <c r="G2">
        <v>433000</v>
      </c>
      <c r="I2">
        <v>216500</v>
      </c>
      <c r="J2">
        <v>500000</v>
      </c>
      <c r="K2" s="2">
        <f t="shared" ref="K2:K65" si="0">G2+H2+I2</f>
        <v>649500</v>
      </c>
      <c r="L2" s="2">
        <v>940</v>
      </c>
      <c r="M2">
        <v>830</v>
      </c>
      <c r="N2">
        <v>110</v>
      </c>
    </row>
    <row r="3" spans="1:14" x14ac:dyDescent="0.3">
      <c r="A3" t="s">
        <v>121</v>
      </c>
      <c r="B3" s="6" t="str">
        <f>HYPERLINK("https://mennonite.britecorepro.com/gateway?file=core.router&amp;method=routeEntity&amp;entity_type=policy&amp;entity_number=01-1 B 21C", "01-1 B 21C")</f>
        <v>01-1 B 21C</v>
      </c>
      <c r="C3" s="6" t="s">
        <v>405</v>
      </c>
      <c r="D3" t="s">
        <v>12</v>
      </c>
      <c r="E3" s="1">
        <v>45632</v>
      </c>
      <c r="F3" s="1">
        <v>45997</v>
      </c>
      <c r="G3">
        <v>522000</v>
      </c>
      <c r="I3">
        <v>261000</v>
      </c>
      <c r="K3" s="2">
        <f t="shared" si="0"/>
        <v>783000</v>
      </c>
      <c r="L3" s="2">
        <v>805</v>
      </c>
      <c r="M3">
        <v>805</v>
      </c>
    </row>
    <row r="4" spans="1:14" x14ac:dyDescent="0.3">
      <c r="A4" t="s">
        <v>269</v>
      </c>
      <c r="B4" s="6" t="str">
        <f>HYPERLINK("https://mennonite.britecorepro.com/gateway?file=core.router&amp;method=routeEntity&amp;entity_type=policy&amp;entity_number=01-1 C 03", "01-1 C 03")</f>
        <v>01-1 C 03</v>
      </c>
      <c r="C4" s="6" t="s">
        <v>405</v>
      </c>
      <c r="D4" t="s">
        <v>12</v>
      </c>
      <c r="E4" s="1">
        <v>45596</v>
      </c>
      <c r="F4" s="1">
        <v>45961</v>
      </c>
      <c r="G4">
        <v>482000</v>
      </c>
      <c r="I4">
        <v>241000</v>
      </c>
      <c r="J4">
        <v>300000</v>
      </c>
      <c r="K4" s="2">
        <f t="shared" si="0"/>
        <v>723000</v>
      </c>
      <c r="L4" s="2">
        <v>2606</v>
      </c>
      <c r="M4">
        <v>2526</v>
      </c>
      <c r="N4">
        <v>80</v>
      </c>
    </row>
    <row r="5" spans="1:14" x14ac:dyDescent="0.3">
      <c r="A5" t="s">
        <v>254</v>
      </c>
      <c r="B5" s="6" t="str">
        <f>HYPERLINK("https://mennonite.britecorepro.com/gateway?file=core.router&amp;method=routeEntity&amp;entity_type=policy&amp;entity_number=01-1 E 07C", "01-1 E 07C")</f>
        <v>01-1 E 07C</v>
      </c>
      <c r="C5" s="6" t="s">
        <v>405</v>
      </c>
      <c r="D5" t="s">
        <v>12</v>
      </c>
      <c r="E5" s="1">
        <v>45600</v>
      </c>
      <c r="F5" s="1">
        <v>45965</v>
      </c>
      <c r="G5">
        <v>653000</v>
      </c>
      <c r="I5">
        <v>326500</v>
      </c>
      <c r="K5" s="2">
        <f t="shared" si="0"/>
        <v>979500</v>
      </c>
      <c r="L5" s="2">
        <v>2158</v>
      </c>
      <c r="M5">
        <v>2158</v>
      </c>
    </row>
    <row r="6" spans="1:14" x14ac:dyDescent="0.3">
      <c r="A6" t="s">
        <v>47</v>
      </c>
      <c r="B6" s="6" t="str">
        <f>HYPERLINK("https://mennonite.britecorepro.com/gateway?file=core.router&amp;method=routeEntity&amp;entity_type=policy&amp;entity_number=01-1 E 07E", "01-1 E 07E")</f>
        <v>01-1 E 07E</v>
      </c>
      <c r="C6" s="6" t="s">
        <v>405</v>
      </c>
      <c r="D6" t="s">
        <v>16</v>
      </c>
      <c r="E6" s="1">
        <v>45648</v>
      </c>
      <c r="F6" s="1">
        <v>46013</v>
      </c>
      <c r="G6">
        <v>488000</v>
      </c>
      <c r="H6">
        <v>313000</v>
      </c>
      <c r="K6" s="2">
        <f t="shared" si="0"/>
        <v>801000</v>
      </c>
      <c r="L6" s="2">
        <v>3250</v>
      </c>
      <c r="M6">
        <v>3250</v>
      </c>
    </row>
    <row r="7" spans="1:14" x14ac:dyDescent="0.3">
      <c r="A7" t="s">
        <v>270</v>
      </c>
      <c r="B7" s="6" t="str">
        <f>HYPERLINK("https://mennonite.britecorepro.com/gateway?file=core.router&amp;method=routeEntity&amp;entity_type=policy&amp;entity_number=01-1 E 12C", "01-1 E 12C")</f>
        <v>01-1 E 12C</v>
      </c>
      <c r="C7" s="6" t="s">
        <v>405</v>
      </c>
      <c r="D7" t="s">
        <v>16</v>
      </c>
      <c r="E7" s="1">
        <v>45596</v>
      </c>
      <c r="F7" s="1">
        <v>45961</v>
      </c>
      <c r="G7">
        <v>633000</v>
      </c>
      <c r="I7">
        <v>1000</v>
      </c>
      <c r="K7" s="2">
        <f t="shared" si="0"/>
        <v>634000</v>
      </c>
      <c r="L7" s="2">
        <v>1628</v>
      </c>
      <c r="M7">
        <v>1628</v>
      </c>
    </row>
    <row r="8" spans="1:14" x14ac:dyDescent="0.3">
      <c r="A8" t="s">
        <v>100</v>
      </c>
      <c r="B8" s="6" t="str">
        <f>HYPERLINK("https://mennonite.britecorepro.com/gateway?file=core.router&amp;method=routeEntity&amp;entity_type=policy&amp;entity_number=01-1 F 18G", "01-1 F 18G")</f>
        <v>01-1 F 18G</v>
      </c>
      <c r="C8" s="6" t="s">
        <v>405</v>
      </c>
      <c r="D8" t="s">
        <v>12</v>
      </c>
      <c r="E8" s="1">
        <v>45638</v>
      </c>
      <c r="F8" s="1">
        <v>46003</v>
      </c>
      <c r="G8">
        <v>569000</v>
      </c>
      <c r="H8">
        <v>91000</v>
      </c>
      <c r="I8">
        <v>284500</v>
      </c>
      <c r="J8">
        <v>500000</v>
      </c>
      <c r="K8" s="2">
        <f t="shared" si="0"/>
        <v>944500</v>
      </c>
      <c r="L8" s="2">
        <v>1511</v>
      </c>
      <c r="M8">
        <v>1401</v>
      </c>
      <c r="N8">
        <v>110</v>
      </c>
    </row>
    <row r="9" spans="1:14" x14ac:dyDescent="0.3">
      <c r="A9" t="s">
        <v>359</v>
      </c>
      <c r="B9" s="6" t="str">
        <f>HYPERLINK("https://mennonite.britecorepro.com/gateway?file=core.router&amp;method=routeEntity&amp;entity_type=policy&amp;entity_number=01-1 L 06A", "01-1 L 06A")</f>
        <v>01-1 L 06A</v>
      </c>
      <c r="C9" s="6" t="s">
        <v>405</v>
      </c>
      <c r="D9" t="s">
        <v>12</v>
      </c>
      <c r="E9" s="1">
        <v>45575</v>
      </c>
      <c r="F9" s="1">
        <v>45940</v>
      </c>
      <c r="G9">
        <v>430000</v>
      </c>
      <c r="I9">
        <v>215000</v>
      </c>
      <c r="J9">
        <v>300000</v>
      </c>
      <c r="K9" s="2">
        <f t="shared" si="0"/>
        <v>645000</v>
      </c>
      <c r="L9" s="2">
        <v>653</v>
      </c>
      <c r="M9">
        <v>573</v>
      </c>
      <c r="N9">
        <v>80</v>
      </c>
    </row>
    <row r="10" spans="1:14" x14ac:dyDescent="0.3">
      <c r="A10" t="s">
        <v>91</v>
      </c>
      <c r="B10" s="6" t="str">
        <f>HYPERLINK("https://mennonite.britecorepro.com/gateway?file=core.router&amp;method=routeEntity&amp;entity_type=policy&amp;entity_number=01-1 M 03", "01-1 M 03")</f>
        <v>01-1 M 03</v>
      </c>
      <c r="C10" s="6" t="s">
        <v>405</v>
      </c>
      <c r="D10" t="s">
        <v>12</v>
      </c>
      <c r="E10" s="1">
        <v>45640</v>
      </c>
      <c r="F10" s="1">
        <v>46005</v>
      </c>
      <c r="G10">
        <v>239000</v>
      </c>
      <c r="I10">
        <v>119500</v>
      </c>
      <c r="J10">
        <v>300000</v>
      </c>
      <c r="K10" s="2">
        <f t="shared" si="0"/>
        <v>358500</v>
      </c>
      <c r="L10" s="2">
        <v>507</v>
      </c>
      <c r="M10">
        <v>427</v>
      </c>
      <c r="N10">
        <v>80</v>
      </c>
    </row>
    <row r="11" spans="1:14" x14ac:dyDescent="0.3">
      <c r="A11" t="s">
        <v>131</v>
      </c>
      <c r="B11" s="6" t="str">
        <f>HYPERLINK("https://mennonite.britecorepro.com/gateway?file=core.router&amp;method=routeEntity&amp;entity_type=policy&amp;entity_number=01-1 Q 16", "01-1 Q 16")</f>
        <v>01-1 Q 16</v>
      </c>
      <c r="C11" s="6" t="s">
        <v>405</v>
      </c>
      <c r="D11" t="s">
        <v>12</v>
      </c>
      <c r="E11" s="1">
        <v>45630</v>
      </c>
      <c r="F11" s="1">
        <v>45995</v>
      </c>
      <c r="G11">
        <v>379000</v>
      </c>
      <c r="I11">
        <v>189500</v>
      </c>
      <c r="J11">
        <v>500000</v>
      </c>
      <c r="K11" s="2">
        <f t="shared" si="0"/>
        <v>568500</v>
      </c>
      <c r="L11" s="2">
        <v>595</v>
      </c>
      <c r="M11">
        <v>485</v>
      </c>
      <c r="N11">
        <v>110</v>
      </c>
    </row>
    <row r="12" spans="1:14" x14ac:dyDescent="0.3">
      <c r="A12" t="s">
        <v>145</v>
      </c>
      <c r="B12" s="6" t="str">
        <f>HYPERLINK("https://mennonite.britecorepro.com/gateway?file=core.router&amp;method=routeEntity&amp;entity_type=policy&amp;entity_number=01-1 R 01", "01-1 R 01")</f>
        <v>01-1 R 01</v>
      </c>
      <c r="C12" s="6" t="s">
        <v>405</v>
      </c>
      <c r="D12" t="s">
        <v>12</v>
      </c>
      <c r="E12" s="1">
        <v>45627</v>
      </c>
      <c r="F12" s="1">
        <v>45992</v>
      </c>
      <c r="G12">
        <v>446000</v>
      </c>
      <c r="I12">
        <v>223000</v>
      </c>
      <c r="J12">
        <v>300000</v>
      </c>
      <c r="K12" s="2">
        <f t="shared" si="0"/>
        <v>669000</v>
      </c>
      <c r="L12" s="2">
        <v>1017</v>
      </c>
      <c r="M12">
        <v>937</v>
      </c>
      <c r="N12">
        <v>80</v>
      </c>
    </row>
    <row r="13" spans="1:14" x14ac:dyDescent="0.3">
      <c r="A13" t="s">
        <v>185</v>
      </c>
      <c r="B13" s="6" t="str">
        <f>HYPERLINK("https://mennonite.britecorepro.com/gateway?file=core.router&amp;method=routeEntity&amp;entity_type=policy&amp;entity_number=01-1 S 04B", "01-1 S 04B")</f>
        <v>01-1 S 04B</v>
      </c>
      <c r="C13" s="6" t="s">
        <v>405</v>
      </c>
      <c r="D13" t="s">
        <v>12</v>
      </c>
      <c r="E13" s="1">
        <v>45618</v>
      </c>
      <c r="F13" s="1">
        <v>45983</v>
      </c>
      <c r="G13">
        <v>333000</v>
      </c>
      <c r="I13">
        <v>166500</v>
      </c>
      <c r="J13">
        <v>300000</v>
      </c>
      <c r="K13" s="2">
        <f t="shared" si="0"/>
        <v>499500</v>
      </c>
      <c r="L13" s="2">
        <v>637</v>
      </c>
      <c r="M13">
        <v>557</v>
      </c>
      <c r="N13">
        <v>80</v>
      </c>
    </row>
    <row r="14" spans="1:14" x14ac:dyDescent="0.3">
      <c r="A14" t="s">
        <v>368</v>
      </c>
      <c r="B14" s="6" t="str">
        <f>HYPERLINK("https://mennonite.britecorepro.com/gateway?file=core.router&amp;method=routeEntity&amp;entity_type=policy&amp;entity_number=01-1 S 15A", "01-1 S 15A")</f>
        <v>01-1 S 15A</v>
      </c>
      <c r="C14" s="6" t="s">
        <v>405</v>
      </c>
      <c r="D14" t="s">
        <v>12</v>
      </c>
      <c r="E14" s="1">
        <v>45572</v>
      </c>
      <c r="F14" s="1">
        <v>45937</v>
      </c>
      <c r="G14">
        <v>394000</v>
      </c>
      <c r="I14">
        <v>197000</v>
      </c>
      <c r="J14">
        <v>500000</v>
      </c>
      <c r="K14" s="2">
        <f t="shared" si="0"/>
        <v>591000</v>
      </c>
      <c r="L14" s="2">
        <v>1033</v>
      </c>
      <c r="M14">
        <v>923</v>
      </c>
      <c r="N14">
        <v>110</v>
      </c>
    </row>
    <row r="15" spans="1:14" x14ac:dyDescent="0.3">
      <c r="A15" t="s">
        <v>263</v>
      </c>
      <c r="B15" s="6" t="str">
        <f>HYPERLINK("https://mennonite.britecorepro.com/gateway?file=core.router&amp;method=routeEntity&amp;entity_type=policy&amp;entity_number=01-1 U 04", "01-1 U 04")</f>
        <v>01-1 U 04</v>
      </c>
      <c r="C15" s="6" t="s">
        <v>405</v>
      </c>
      <c r="D15" t="s">
        <v>12</v>
      </c>
      <c r="E15" s="1">
        <v>45597</v>
      </c>
      <c r="F15" s="1">
        <v>45962</v>
      </c>
      <c r="G15">
        <v>517000</v>
      </c>
      <c r="I15">
        <v>258500</v>
      </c>
      <c r="K15" s="2">
        <f t="shared" si="0"/>
        <v>775500</v>
      </c>
      <c r="L15" s="2">
        <v>1112</v>
      </c>
      <c r="M15">
        <v>1112</v>
      </c>
    </row>
    <row r="16" spans="1:14" x14ac:dyDescent="0.3">
      <c r="A16" t="s">
        <v>210</v>
      </c>
      <c r="B16" s="6" t="str">
        <f>HYPERLINK("https://mennonite.britecorepro.com/gateway?file=core.router&amp;method=routeEntity&amp;entity_type=policy&amp;entity_number=01-1 W 02B", "01-1 W 02B")</f>
        <v>01-1 W 02B</v>
      </c>
      <c r="C16" s="6" t="s">
        <v>405</v>
      </c>
      <c r="D16" t="s">
        <v>12</v>
      </c>
      <c r="E16" s="1">
        <v>45612</v>
      </c>
      <c r="F16" s="1">
        <v>45977</v>
      </c>
      <c r="G16">
        <v>740000</v>
      </c>
      <c r="I16">
        <v>370000</v>
      </c>
      <c r="J16">
        <v>500000</v>
      </c>
      <c r="K16" s="2">
        <f t="shared" si="0"/>
        <v>1110000</v>
      </c>
      <c r="L16" s="2">
        <v>1823</v>
      </c>
      <c r="M16">
        <v>1713</v>
      </c>
      <c r="N16">
        <v>110</v>
      </c>
    </row>
    <row r="17" spans="1:14" x14ac:dyDescent="0.3">
      <c r="A17" t="s">
        <v>132</v>
      </c>
      <c r="B17" s="6" t="str">
        <f>HYPERLINK("https://mennonite.britecorepro.com/gateway?file=core.router&amp;method=routeEntity&amp;entity_type=policy&amp;entity_number=01-2 A 02C", "01-2 A 02C")</f>
        <v>01-2 A 02C</v>
      </c>
      <c r="C17" s="6" t="s">
        <v>405</v>
      </c>
      <c r="D17" t="s">
        <v>12</v>
      </c>
      <c r="E17" s="1">
        <v>45630</v>
      </c>
      <c r="F17" s="1">
        <v>45995</v>
      </c>
      <c r="G17">
        <v>718000</v>
      </c>
      <c r="H17">
        <v>29000</v>
      </c>
      <c r="I17">
        <v>359000</v>
      </c>
      <c r="J17">
        <v>300000</v>
      </c>
      <c r="K17" s="2">
        <f t="shared" si="0"/>
        <v>1106000</v>
      </c>
      <c r="L17" s="2">
        <v>1977</v>
      </c>
      <c r="M17">
        <v>1897</v>
      </c>
      <c r="N17">
        <v>80</v>
      </c>
    </row>
    <row r="18" spans="1:14" x14ac:dyDescent="0.3">
      <c r="A18" t="s">
        <v>352</v>
      </c>
      <c r="B18" s="6" t="str">
        <f>HYPERLINK("https://mennonite.britecorepro.com/gateway?file=core.router&amp;method=routeEntity&amp;entity_type=policy&amp;entity_number=01-2 A 02D", "01-2 A 02D")</f>
        <v>01-2 A 02D</v>
      </c>
      <c r="C18" s="6" t="s">
        <v>405</v>
      </c>
      <c r="D18" t="s">
        <v>16</v>
      </c>
      <c r="E18" s="1">
        <v>45577</v>
      </c>
      <c r="F18" s="1">
        <v>45942</v>
      </c>
      <c r="G18">
        <v>755000</v>
      </c>
      <c r="I18">
        <v>1000</v>
      </c>
      <c r="J18">
        <v>300000</v>
      </c>
      <c r="K18" s="2">
        <f t="shared" si="0"/>
        <v>756000</v>
      </c>
      <c r="L18" s="2">
        <v>2014</v>
      </c>
      <c r="M18">
        <v>1984</v>
      </c>
      <c r="N18">
        <v>30</v>
      </c>
    </row>
    <row r="19" spans="1:14" x14ac:dyDescent="0.3">
      <c r="A19" t="s">
        <v>238</v>
      </c>
      <c r="B19" s="6" t="str">
        <f>HYPERLINK("https://mennonite.britecorepro.com/gateway?file=core.router&amp;method=routeEntity&amp;entity_type=policy&amp;entity_number=01-2 A 11B", "01-2 A 11B")</f>
        <v>01-2 A 11B</v>
      </c>
      <c r="C19" s="6" t="s">
        <v>405</v>
      </c>
      <c r="D19" t="s">
        <v>12</v>
      </c>
      <c r="E19" s="1">
        <v>45605</v>
      </c>
      <c r="F19" s="1">
        <v>45970</v>
      </c>
      <c r="G19">
        <v>821000</v>
      </c>
      <c r="I19">
        <v>410500</v>
      </c>
      <c r="J19">
        <v>300000</v>
      </c>
      <c r="K19" s="2">
        <f t="shared" si="0"/>
        <v>1231500</v>
      </c>
      <c r="L19" s="2">
        <v>1223</v>
      </c>
      <c r="M19">
        <v>1143</v>
      </c>
      <c r="N19">
        <v>80</v>
      </c>
    </row>
    <row r="20" spans="1:14" x14ac:dyDescent="0.3">
      <c r="A20" t="s">
        <v>164</v>
      </c>
      <c r="B20" s="6" t="str">
        <f>HYPERLINK("https://mennonite.britecorepro.com/gateway?file=core.router&amp;method=routeEntity&amp;entity_type=policy&amp;entity_number=01-2 A 17", "01-2 A 17")</f>
        <v>01-2 A 17</v>
      </c>
      <c r="C20" s="6" t="s">
        <v>405</v>
      </c>
      <c r="D20" t="s">
        <v>12</v>
      </c>
      <c r="E20" s="1">
        <v>45622</v>
      </c>
      <c r="F20" s="1">
        <v>45987</v>
      </c>
      <c r="G20">
        <v>216000</v>
      </c>
      <c r="I20">
        <v>108000</v>
      </c>
      <c r="J20">
        <v>300000</v>
      </c>
      <c r="K20" s="2">
        <f t="shared" si="0"/>
        <v>324000</v>
      </c>
      <c r="L20" s="2">
        <v>636</v>
      </c>
      <c r="M20">
        <v>556</v>
      </c>
      <c r="N20">
        <v>80</v>
      </c>
    </row>
    <row r="21" spans="1:14" x14ac:dyDescent="0.3">
      <c r="A21" t="s">
        <v>203</v>
      </c>
      <c r="B21" s="6" t="str">
        <f>HYPERLINK("https://mennonite.britecorepro.com/gateway?file=core.router&amp;method=routeEntity&amp;entity_type=policy&amp;entity_number=01-2 A 50", "01-2 A 50")</f>
        <v>01-2 A 50</v>
      </c>
      <c r="C21" s="6" t="s">
        <v>405</v>
      </c>
      <c r="D21" t="s">
        <v>12</v>
      </c>
      <c r="E21" s="1">
        <v>45613</v>
      </c>
      <c r="F21" s="1">
        <v>45978</v>
      </c>
      <c r="G21">
        <v>360000</v>
      </c>
      <c r="I21">
        <v>180000</v>
      </c>
      <c r="J21">
        <v>300000</v>
      </c>
      <c r="K21" s="2">
        <f t="shared" si="0"/>
        <v>540000</v>
      </c>
      <c r="L21" s="2">
        <v>550</v>
      </c>
      <c r="M21">
        <v>470</v>
      </c>
      <c r="N21">
        <v>80</v>
      </c>
    </row>
    <row r="22" spans="1:14" x14ac:dyDescent="0.3">
      <c r="A22" t="s">
        <v>244</v>
      </c>
      <c r="B22" s="6" t="str">
        <f>HYPERLINK("https://mennonite.britecorepro.com/gateway?file=core.router&amp;method=routeEntity&amp;entity_type=policy&amp;entity_number=01-2 B 47A", "01-2 B 47A")</f>
        <v>01-2 B 47A</v>
      </c>
      <c r="C22" s="6" t="s">
        <v>405</v>
      </c>
      <c r="D22" t="s">
        <v>16</v>
      </c>
      <c r="E22" s="1">
        <v>45604</v>
      </c>
      <c r="F22" s="1">
        <v>45969</v>
      </c>
      <c r="G22">
        <v>498000</v>
      </c>
      <c r="I22">
        <v>1000</v>
      </c>
      <c r="J22">
        <v>500000</v>
      </c>
      <c r="K22" s="2">
        <f t="shared" si="0"/>
        <v>499000</v>
      </c>
      <c r="L22" s="2">
        <v>1052</v>
      </c>
      <c r="M22">
        <v>1012</v>
      </c>
      <c r="N22">
        <v>40</v>
      </c>
    </row>
    <row r="23" spans="1:14" x14ac:dyDescent="0.3">
      <c r="A23" t="s">
        <v>146</v>
      </c>
      <c r="B23" s="6" t="str">
        <f>HYPERLINK("https://mennonite.britecorepro.com/gateway?file=core.router&amp;method=routeEntity&amp;entity_type=policy&amp;entity_number=01-2 C 04", "01-2 C 04")</f>
        <v>01-2 C 04</v>
      </c>
      <c r="C23" s="6" t="s">
        <v>405</v>
      </c>
      <c r="D23" t="s">
        <v>68</v>
      </c>
      <c r="E23" s="1">
        <v>45627</v>
      </c>
      <c r="F23" s="1">
        <v>45992</v>
      </c>
      <c r="G23">
        <v>1213000</v>
      </c>
      <c r="I23">
        <v>122000</v>
      </c>
      <c r="K23" s="2">
        <f t="shared" si="0"/>
        <v>1335000</v>
      </c>
      <c r="L23" s="2">
        <v>1983</v>
      </c>
      <c r="M23">
        <v>1983</v>
      </c>
    </row>
    <row r="24" spans="1:14" x14ac:dyDescent="0.3">
      <c r="A24" t="s">
        <v>342</v>
      </c>
      <c r="B24" s="6" t="str">
        <f>HYPERLINK("https://mennonite.britecorepro.com/gateway?file=core.router&amp;method=routeEntity&amp;entity_type=policy&amp;entity_number=01-2 D 05C", "01-2 D 05C")</f>
        <v>01-2 D 05C</v>
      </c>
      <c r="C24" s="6" t="s">
        <v>405</v>
      </c>
      <c r="D24" t="s">
        <v>66</v>
      </c>
      <c r="E24" s="1">
        <v>45580</v>
      </c>
      <c r="F24" s="1">
        <v>45945</v>
      </c>
      <c r="G24">
        <v>280000</v>
      </c>
      <c r="H24">
        <v>9000</v>
      </c>
      <c r="I24">
        <v>84000</v>
      </c>
      <c r="J24">
        <v>300000</v>
      </c>
      <c r="K24" s="2">
        <f t="shared" si="0"/>
        <v>373000</v>
      </c>
      <c r="L24" s="2">
        <v>1767</v>
      </c>
      <c r="M24">
        <v>1747</v>
      </c>
      <c r="N24">
        <v>20</v>
      </c>
    </row>
    <row r="25" spans="1:14" x14ac:dyDescent="0.3">
      <c r="A25" t="s">
        <v>214</v>
      </c>
      <c r="B25" s="6" t="str">
        <f>HYPERLINK("https://mennonite.britecorepro.com/gateway?file=core.router&amp;method=routeEntity&amp;entity_type=policy&amp;entity_number=01-2 D 33", "01-2 D 33")</f>
        <v>01-2 D 33</v>
      </c>
      <c r="C25" s="6" t="s">
        <v>405</v>
      </c>
      <c r="D25" t="s">
        <v>12</v>
      </c>
      <c r="E25" s="1">
        <v>45611</v>
      </c>
      <c r="F25" s="1">
        <v>45976</v>
      </c>
      <c r="G25">
        <v>730000</v>
      </c>
      <c r="I25">
        <v>365000</v>
      </c>
      <c r="J25">
        <v>300000</v>
      </c>
      <c r="K25" s="2">
        <f t="shared" si="0"/>
        <v>1095000</v>
      </c>
      <c r="L25" s="2">
        <v>1386</v>
      </c>
      <c r="M25">
        <v>1306</v>
      </c>
      <c r="N25">
        <v>80</v>
      </c>
    </row>
    <row r="26" spans="1:14" x14ac:dyDescent="0.3">
      <c r="A26" t="s">
        <v>360</v>
      </c>
      <c r="B26" s="6" t="str">
        <f>HYPERLINK("https://mennonite.britecorepro.com/gateway?file=core.router&amp;method=routeEntity&amp;entity_type=policy&amp;entity_number=01-2 E 27D", "01-2 E 27D")</f>
        <v>01-2 E 27D</v>
      </c>
      <c r="C26" s="6" t="s">
        <v>405</v>
      </c>
      <c r="D26" t="s">
        <v>12</v>
      </c>
      <c r="E26" s="1">
        <v>45575</v>
      </c>
      <c r="F26" s="1">
        <v>45940</v>
      </c>
      <c r="G26">
        <v>671000</v>
      </c>
      <c r="H26">
        <v>30000</v>
      </c>
      <c r="I26">
        <v>335500</v>
      </c>
      <c r="J26">
        <v>300000</v>
      </c>
      <c r="K26" s="2">
        <f t="shared" si="0"/>
        <v>1036500</v>
      </c>
      <c r="L26" s="2">
        <v>1364</v>
      </c>
      <c r="M26">
        <v>1284</v>
      </c>
      <c r="N26">
        <v>80</v>
      </c>
    </row>
    <row r="27" spans="1:14" x14ac:dyDescent="0.3">
      <c r="A27" t="s">
        <v>48</v>
      </c>
      <c r="B27" s="6" t="str">
        <f>HYPERLINK("https://mennonite.britecorepro.com/gateway?file=core.router&amp;method=routeEntity&amp;entity_type=policy&amp;entity_number=01-2 E 30B", "01-2 E 30B")</f>
        <v>01-2 E 30B</v>
      </c>
      <c r="C27" s="6" t="s">
        <v>405</v>
      </c>
      <c r="D27" t="s">
        <v>28</v>
      </c>
      <c r="E27" s="1">
        <v>45648</v>
      </c>
      <c r="F27" s="1">
        <v>46013</v>
      </c>
      <c r="I27">
        <v>50000</v>
      </c>
      <c r="J27">
        <v>500000</v>
      </c>
      <c r="K27" s="2">
        <f t="shared" si="0"/>
        <v>50000</v>
      </c>
      <c r="L27" s="2">
        <v>240</v>
      </c>
      <c r="M27">
        <v>130</v>
      </c>
      <c r="N27">
        <v>110</v>
      </c>
    </row>
    <row r="28" spans="1:14" x14ac:dyDescent="0.3">
      <c r="A28" t="s">
        <v>326</v>
      </c>
      <c r="B28" s="6" t="str">
        <f>HYPERLINK("https://mennonite.britecorepro.com/gateway?file=core.router&amp;method=routeEntity&amp;entity_type=policy&amp;entity_number=01-2 F 03C", "01-2 F 03C")</f>
        <v>01-2 F 03C</v>
      </c>
      <c r="C28" s="6" t="s">
        <v>405</v>
      </c>
      <c r="D28" t="s">
        <v>16</v>
      </c>
      <c r="E28" s="1">
        <v>45583</v>
      </c>
      <c r="F28" s="1">
        <v>45948</v>
      </c>
      <c r="G28">
        <v>301000</v>
      </c>
      <c r="I28">
        <v>1000</v>
      </c>
      <c r="J28">
        <v>500000</v>
      </c>
      <c r="K28" s="2">
        <f t="shared" si="0"/>
        <v>302000</v>
      </c>
      <c r="L28" s="2">
        <v>1019</v>
      </c>
      <c r="M28">
        <v>979</v>
      </c>
      <c r="N28">
        <v>40</v>
      </c>
    </row>
    <row r="29" spans="1:14" x14ac:dyDescent="0.3">
      <c r="A29" t="s">
        <v>119</v>
      </c>
      <c r="B29" s="6" t="str">
        <f>HYPERLINK("https://mennonite.britecorepro.com/gateway?file=core.router&amp;method=routeEntity&amp;entity_type=policy&amp;entity_number=01-2 F 03F", "01-2 F 03F")</f>
        <v>01-2 F 03F</v>
      </c>
      <c r="C29" s="6" t="s">
        <v>405</v>
      </c>
      <c r="D29" t="s">
        <v>16</v>
      </c>
      <c r="E29" s="1">
        <v>45633</v>
      </c>
      <c r="F29" s="1">
        <v>45998</v>
      </c>
      <c r="G29">
        <v>429000</v>
      </c>
      <c r="H29">
        <v>35000</v>
      </c>
      <c r="I29">
        <v>1000</v>
      </c>
      <c r="J29">
        <v>500000</v>
      </c>
      <c r="K29" s="2">
        <f t="shared" si="0"/>
        <v>465000</v>
      </c>
      <c r="L29" s="2">
        <v>1319</v>
      </c>
      <c r="M29">
        <v>1279</v>
      </c>
      <c r="N29">
        <v>40</v>
      </c>
    </row>
    <row r="30" spans="1:14" x14ac:dyDescent="0.3">
      <c r="A30" t="s">
        <v>88</v>
      </c>
      <c r="B30" s="6" t="str">
        <f>HYPERLINK("https://mennonite.britecorepro.com/gateway?file=core.router&amp;method=routeEntity&amp;entity_type=policy&amp;entity_number=01-2 F 12", "01-2 F 12")</f>
        <v>01-2 F 12</v>
      </c>
      <c r="C30" s="6" t="s">
        <v>405</v>
      </c>
      <c r="D30" t="s">
        <v>16</v>
      </c>
      <c r="E30" s="1">
        <v>45641</v>
      </c>
      <c r="F30" s="1">
        <v>46006</v>
      </c>
      <c r="G30">
        <v>296000</v>
      </c>
      <c r="I30">
        <v>1000</v>
      </c>
      <c r="J30">
        <v>500000</v>
      </c>
      <c r="K30" s="2">
        <f t="shared" si="0"/>
        <v>297000</v>
      </c>
      <c r="L30" s="2">
        <v>780</v>
      </c>
      <c r="M30">
        <v>740</v>
      </c>
      <c r="N30">
        <v>40</v>
      </c>
    </row>
    <row r="31" spans="1:14" x14ac:dyDescent="0.3">
      <c r="A31" t="s">
        <v>258</v>
      </c>
      <c r="B31" s="6" t="str">
        <f>HYPERLINK("https://mennonite.britecorepro.com/gateway?file=core.router&amp;method=routeEntity&amp;entity_type=policy&amp;entity_number=01-2 G 21B", "01-2 G 21B")</f>
        <v>01-2 G 21B</v>
      </c>
      <c r="C31" s="6" t="s">
        <v>405</v>
      </c>
      <c r="D31" t="s">
        <v>28</v>
      </c>
      <c r="E31" s="1">
        <v>45599</v>
      </c>
      <c r="F31" s="1">
        <v>45964</v>
      </c>
      <c r="I31">
        <v>75000</v>
      </c>
      <c r="J31">
        <v>300000</v>
      </c>
      <c r="K31" s="2">
        <f t="shared" si="0"/>
        <v>75000</v>
      </c>
      <c r="L31" s="2">
        <v>275</v>
      </c>
      <c r="M31">
        <v>195</v>
      </c>
      <c r="N31">
        <v>80</v>
      </c>
    </row>
    <row r="32" spans="1:14" x14ac:dyDescent="0.3">
      <c r="A32" t="s">
        <v>70</v>
      </c>
      <c r="B32" s="6" t="str">
        <f>HYPERLINK("https://mennonite.britecorepro.com/gateway?file=core.router&amp;method=routeEntity&amp;entity_type=policy&amp;entity_number=01-2 G 30A", "01-2 G 30A")</f>
        <v>01-2 G 30A</v>
      </c>
      <c r="C32" s="6" t="s">
        <v>405</v>
      </c>
      <c r="D32" t="s">
        <v>12</v>
      </c>
      <c r="E32" s="1">
        <v>45645</v>
      </c>
      <c r="F32" s="1">
        <v>46010</v>
      </c>
      <c r="G32">
        <v>338000</v>
      </c>
      <c r="I32">
        <v>169000</v>
      </c>
      <c r="J32">
        <v>500000</v>
      </c>
      <c r="K32" s="2">
        <f t="shared" si="0"/>
        <v>507000</v>
      </c>
      <c r="L32" s="2">
        <v>921</v>
      </c>
      <c r="M32">
        <v>811</v>
      </c>
      <c r="N32">
        <v>110</v>
      </c>
    </row>
    <row r="33" spans="1:14" x14ac:dyDescent="0.3">
      <c r="A33" t="s">
        <v>320</v>
      </c>
      <c r="B33" s="6" t="str">
        <f>HYPERLINK("https://mennonite.britecorepro.com/gateway?file=core.router&amp;method=routeEntity&amp;entity_type=policy&amp;entity_number=01-2 G 38A", "01-2 G 38A")</f>
        <v>01-2 G 38A</v>
      </c>
      <c r="C33" s="6" t="s">
        <v>405</v>
      </c>
      <c r="D33" t="s">
        <v>68</v>
      </c>
      <c r="E33" s="1">
        <v>45585</v>
      </c>
      <c r="F33" s="1">
        <v>45950</v>
      </c>
      <c r="G33">
        <v>444000</v>
      </c>
      <c r="I33">
        <v>45000</v>
      </c>
      <c r="K33" s="2">
        <f t="shared" si="0"/>
        <v>489000</v>
      </c>
      <c r="L33" s="2">
        <v>938</v>
      </c>
      <c r="M33">
        <v>938</v>
      </c>
    </row>
    <row r="34" spans="1:14" x14ac:dyDescent="0.3">
      <c r="A34" t="s">
        <v>55</v>
      </c>
      <c r="B34" s="6" t="str">
        <f>HYPERLINK("https://mennonite.britecorepro.com/gateway?file=core.router&amp;method=routeEntity&amp;entity_type=policy&amp;entity_number=01-2 H 58B", "01-2 H 58B")</f>
        <v>01-2 H 58B</v>
      </c>
      <c r="C34" s="6" t="s">
        <v>405</v>
      </c>
      <c r="D34" t="s">
        <v>12</v>
      </c>
      <c r="E34" s="1">
        <v>45647</v>
      </c>
      <c r="F34" s="1">
        <v>46012</v>
      </c>
      <c r="G34">
        <v>919000</v>
      </c>
      <c r="I34">
        <v>459500</v>
      </c>
      <c r="J34">
        <v>500000</v>
      </c>
      <c r="K34" s="2">
        <f t="shared" si="0"/>
        <v>1378500</v>
      </c>
      <c r="L34" s="2">
        <v>1612</v>
      </c>
      <c r="M34">
        <v>1502</v>
      </c>
      <c r="N34">
        <v>110</v>
      </c>
    </row>
    <row r="35" spans="1:14" x14ac:dyDescent="0.3">
      <c r="A35" t="s">
        <v>71</v>
      </c>
      <c r="B35" s="6" t="str">
        <f>HYPERLINK("https://mennonite.britecorepro.com/gateway?file=core.router&amp;method=routeEntity&amp;entity_type=policy&amp;entity_number=01-2 H 60", "01-2 H 60")</f>
        <v>01-2 H 60</v>
      </c>
      <c r="C35" s="6" t="s">
        <v>405</v>
      </c>
      <c r="D35" t="s">
        <v>12</v>
      </c>
      <c r="E35" s="1">
        <v>45645</v>
      </c>
      <c r="F35" s="1">
        <v>46010</v>
      </c>
      <c r="G35">
        <v>348000</v>
      </c>
      <c r="I35">
        <v>174000</v>
      </c>
      <c r="J35">
        <v>300000</v>
      </c>
      <c r="K35" s="2">
        <f t="shared" si="0"/>
        <v>522000</v>
      </c>
      <c r="L35" s="2">
        <v>878</v>
      </c>
      <c r="M35">
        <v>798</v>
      </c>
      <c r="N35">
        <v>80</v>
      </c>
    </row>
    <row r="36" spans="1:14" x14ac:dyDescent="0.3">
      <c r="A36" t="s">
        <v>157</v>
      </c>
      <c r="B36" s="6" t="str">
        <f>HYPERLINK("https://mennonite.britecorepro.com/gateway?file=core.router&amp;method=routeEntity&amp;entity_type=policy&amp;entity_number=01-2 J 12B", "01-2 J 12B")</f>
        <v>01-2 J 12B</v>
      </c>
      <c r="C36" s="6" t="s">
        <v>405</v>
      </c>
      <c r="D36" t="s">
        <v>12</v>
      </c>
      <c r="E36" s="1">
        <v>45625</v>
      </c>
      <c r="F36" s="1">
        <v>45990</v>
      </c>
      <c r="G36">
        <v>578000</v>
      </c>
      <c r="I36">
        <v>289000</v>
      </c>
      <c r="K36" s="2">
        <f t="shared" si="0"/>
        <v>867000</v>
      </c>
      <c r="L36" s="2">
        <v>1004</v>
      </c>
      <c r="M36">
        <v>1004</v>
      </c>
    </row>
    <row r="37" spans="1:14" x14ac:dyDescent="0.3">
      <c r="A37" t="s">
        <v>225</v>
      </c>
      <c r="B37" s="6" t="str">
        <f>HYPERLINK("https://mennonite.britecorepro.com/gateway?file=core.router&amp;method=routeEntity&amp;entity_type=policy&amp;entity_number=01-2 K 34", "01-2 K 34")</f>
        <v>01-2 K 34</v>
      </c>
      <c r="C37" s="6" t="s">
        <v>405</v>
      </c>
      <c r="D37" t="s">
        <v>16</v>
      </c>
      <c r="E37" s="1">
        <v>45608</v>
      </c>
      <c r="F37" s="1">
        <v>45973</v>
      </c>
      <c r="G37">
        <v>782000</v>
      </c>
      <c r="I37">
        <v>1000</v>
      </c>
      <c r="J37">
        <v>300000</v>
      </c>
      <c r="K37" s="2">
        <f t="shared" si="0"/>
        <v>783000</v>
      </c>
      <c r="L37" s="3">
        <v>2281.77</v>
      </c>
      <c r="M37">
        <v>2253</v>
      </c>
      <c r="N37">
        <v>28.77</v>
      </c>
    </row>
    <row r="38" spans="1:14" x14ac:dyDescent="0.3">
      <c r="A38" t="s">
        <v>173</v>
      </c>
      <c r="B38" s="6" t="str">
        <f>HYPERLINK("https://mennonite.britecorepro.com/gateway?file=core.router&amp;method=routeEntity&amp;entity_type=policy&amp;entity_number=01-2 L 17E", "01-2 L 17E")</f>
        <v>01-2 L 17E</v>
      </c>
      <c r="C38" s="6" t="s">
        <v>405</v>
      </c>
      <c r="D38" t="s">
        <v>16</v>
      </c>
      <c r="E38" s="1">
        <v>45620</v>
      </c>
      <c r="F38" s="1">
        <v>45985</v>
      </c>
      <c r="G38">
        <v>562000</v>
      </c>
      <c r="I38">
        <v>2000</v>
      </c>
      <c r="J38">
        <v>300000</v>
      </c>
      <c r="K38" s="2">
        <f t="shared" si="0"/>
        <v>564000</v>
      </c>
      <c r="L38" s="2">
        <v>1047</v>
      </c>
      <c r="M38">
        <v>987</v>
      </c>
      <c r="N38">
        <v>60</v>
      </c>
    </row>
    <row r="39" spans="1:14" x14ac:dyDescent="0.3">
      <c r="A39" t="s">
        <v>107</v>
      </c>
      <c r="B39" s="6" t="str">
        <f>HYPERLINK("https://mennonite.britecorepro.com/gateway?file=core.router&amp;method=routeEntity&amp;entity_type=policy&amp;entity_number=01-2 L 26C", "01-2 L 26C")</f>
        <v>01-2 L 26C</v>
      </c>
      <c r="C39" s="6" t="s">
        <v>405</v>
      </c>
      <c r="D39" t="s">
        <v>12</v>
      </c>
      <c r="E39" s="1">
        <v>45637</v>
      </c>
      <c r="F39" s="1">
        <v>46002</v>
      </c>
      <c r="G39">
        <v>874000</v>
      </c>
      <c r="H39">
        <v>25000</v>
      </c>
      <c r="I39">
        <v>437000</v>
      </c>
      <c r="J39">
        <v>300000</v>
      </c>
      <c r="K39" s="2">
        <f t="shared" si="0"/>
        <v>1336000</v>
      </c>
      <c r="L39" s="2">
        <v>2634</v>
      </c>
      <c r="M39">
        <v>2554</v>
      </c>
      <c r="N39">
        <v>80</v>
      </c>
    </row>
    <row r="40" spans="1:14" x14ac:dyDescent="0.3">
      <c r="A40" t="s">
        <v>167</v>
      </c>
      <c r="B40" s="6" t="str">
        <f>HYPERLINK("https://mennonite.britecorepro.com/gateway?file=core.router&amp;method=routeEntity&amp;entity_type=policy&amp;entity_number=01-2 M 02M", "01-2 M 02M")</f>
        <v>01-2 M 02M</v>
      </c>
      <c r="C40" s="6" t="s">
        <v>405</v>
      </c>
      <c r="D40" t="s">
        <v>12</v>
      </c>
      <c r="E40" s="1">
        <v>45621</v>
      </c>
      <c r="F40" s="1">
        <v>45986</v>
      </c>
      <c r="G40">
        <v>471000</v>
      </c>
      <c r="I40">
        <v>235500</v>
      </c>
      <c r="J40">
        <v>300000</v>
      </c>
      <c r="K40" s="2">
        <f t="shared" si="0"/>
        <v>706500</v>
      </c>
      <c r="L40" s="2">
        <v>1091</v>
      </c>
      <c r="M40">
        <v>1011</v>
      </c>
      <c r="N40">
        <v>80</v>
      </c>
    </row>
    <row r="41" spans="1:14" x14ac:dyDescent="0.3">
      <c r="A41" t="s">
        <v>321</v>
      </c>
      <c r="B41" s="6" t="str">
        <f>HYPERLINK("https://mennonite.britecorepro.com/gateway?file=core.router&amp;method=routeEntity&amp;entity_type=policy&amp;entity_number=01-2 P 04D", "01-2 P 04D")</f>
        <v>01-2 P 04D</v>
      </c>
      <c r="C41" s="6" t="s">
        <v>405</v>
      </c>
      <c r="D41" t="s">
        <v>12</v>
      </c>
      <c r="E41" s="1">
        <v>45585</v>
      </c>
      <c r="F41" s="1">
        <v>45950</v>
      </c>
      <c r="G41">
        <v>445000</v>
      </c>
      <c r="I41">
        <v>222500</v>
      </c>
      <c r="J41">
        <v>500000</v>
      </c>
      <c r="K41" s="2">
        <f t="shared" si="0"/>
        <v>667500</v>
      </c>
      <c r="L41" s="2">
        <v>727</v>
      </c>
      <c r="M41">
        <v>617</v>
      </c>
      <c r="N41">
        <v>110</v>
      </c>
    </row>
    <row r="42" spans="1:14" x14ac:dyDescent="0.3">
      <c r="A42" t="s">
        <v>369</v>
      </c>
      <c r="B42" s="6" t="str">
        <f>HYPERLINK("https://mennonite.britecorepro.com/gateway?file=core.router&amp;method=routeEntity&amp;entity_type=policy&amp;entity_number=01-2 P 11", "01-2 P 11")</f>
        <v>01-2 P 11</v>
      </c>
      <c r="C42" s="6" t="s">
        <v>405</v>
      </c>
      <c r="D42" t="s">
        <v>12</v>
      </c>
      <c r="E42" s="1">
        <v>45572</v>
      </c>
      <c r="F42" s="1">
        <v>45937</v>
      </c>
      <c r="G42">
        <v>454000</v>
      </c>
      <c r="I42">
        <v>227000</v>
      </c>
      <c r="J42">
        <v>300000</v>
      </c>
      <c r="K42" s="2">
        <f t="shared" si="0"/>
        <v>681000</v>
      </c>
      <c r="L42" s="2">
        <v>844</v>
      </c>
      <c r="M42">
        <v>764</v>
      </c>
      <c r="N42">
        <v>80</v>
      </c>
    </row>
    <row r="43" spans="1:14" x14ac:dyDescent="0.3">
      <c r="A43" t="s">
        <v>335</v>
      </c>
      <c r="B43" s="6" t="str">
        <f>HYPERLINK("https://mennonite.britecorepro.com/gateway?file=core.router&amp;method=routeEntity&amp;entity_type=policy&amp;entity_number=01-2 P 14A", "01-2 P 14A")</f>
        <v>01-2 P 14A</v>
      </c>
      <c r="C43" s="6" t="s">
        <v>405</v>
      </c>
      <c r="D43" t="s">
        <v>12</v>
      </c>
      <c r="E43" s="1">
        <v>45581</v>
      </c>
      <c r="F43" s="1">
        <v>45946</v>
      </c>
      <c r="G43">
        <v>356000</v>
      </c>
      <c r="I43">
        <v>178000</v>
      </c>
      <c r="J43">
        <v>300000</v>
      </c>
      <c r="K43" s="2">
        <f t="shared" si="0"/>
        <v>534000</v>
      </c>
      <c r="L43" s="2">
        <v>675</v>
      </c>
      <c r="M43">
        <v>595</v>
      </c>
      <c r="N43">
        <v>80</v>
      </c>
    </row>
    <row r="44" spans="1:14" x14ac:dyDescent="0.3">
      <c r="A44" t="s">
        <v>372</v>
      </c>
      <c r="B44" s="6" t="str">
        <f>HYPERLINK("https://mennonite.britecorepro.com/gateway?file=core.router&amp;method=routeEntity&amp;entity_type=policy&amp;entity_number=01-2 P 25", "01-2 P 25")</f>
        <v>01-2 P 25</v>
      </c>
      <c r="C44" s="6" t="s">
        <v>405</v>
      </c>
      <c r="D44" t="s">
        <v>12</v>
      </c>
      <c r="E44" s="1">
        <v>45571</v>
      </c>
      <c r="F44" s="1">
        <v>45936</v>
      </c>
      <c r="G44">
        <v>1149000</v>
      </c>
      <c r="I44">
        <v>574500</v>
      </c>
      <c r="J44">
        <v>500000</v>
      </c>
      <c r="K44" s="2">
        <f t="shared" si="0"/>
        <v>1723500</v>
      </c>
      <c r="L44" s="2">
        <v>3117</v>
      </c>
      <c r="M44">
        <v>3007</v>
      </c>
      <c r="N44">
        <v>110</v>
      </c>
    </row>
    <row r="45" spans="1:14" x14ac:dyDescent="0.3">
      <c r="A45" t="s">
        <v>79</v>
      </c>
      <c r="B45" s="6" t="str">
        <f>HYPERLINK("https://mennonite.britecorepro.com/gateway?file=core.router&amp;method=routeEntity&amp;entity_type=policy&amp;entity_number=01-2 P 37D", "01-2 P 37D")</f>
        <v>01-2 P 37D</v>
      </c>
      <c r="C45" s="6" t="s">
        <v>405</v>
      </c>
      <c r="D45" t="s">
        <v>28</v>
      </c>
      <c r="E45" s="1">
        <v>45644</v>
      </c>
      <c r="F45" s="1">
        <v>46009</v>
      </c>
      <c r="I45">
        <v>35000</v>
      </c>
      <c r="J45">
        <v>300000</v>
      </c>
      <c r="K45" s="2">
        <f t="shared" si="0"/>
        <v>35000</v>
      </c>
      <c r="L45" s="2">
        <v>171</v>
      </c>
      <c r="M45">
        <v>91</v>
      </c>
      <c r="N45">
        <v>80</v>
      </c>
    </row>
    <row r="46" spans="1:14" x14ac:dyDescent="0.3">
      <c r="A46" t="s">
        <v>376</v>
      </c>
      <c r="B46" s="6" t="str">
        <f>HYPERLINK("https://mennonite.britecorepro.com/gateway?file=core.router&amp;method=routeEntity&amp;entity_type=policy&amp;entity_number=01-2 R 02D", "01-2 R 02D")</f>
        <v>01-2 R 02D</v>
      </c>
      <c r="C46" s="6" t="s">
        <v>405</v>
      </c>
      <c r="D46" t="s">
        <v>12</v>
      </c>
      <c r="E46" s="1">
        <v>45570</v>
      </c>
      <c r="F46" s="1">
        <v>45935</v>
      </c>
      <c r="G46">
        <v>326000</v>
      </c>
      <c r="H46">
        <v>24000</v>
      </c>
      <c r="I46">
        <v>163000</v>
      </c>
      <c r="J46">
        <v>300000</v>
      </c>
      <c r="K46" s="2">
        <f t="shared" si="0"/>
        <v>513000</v>
      </c>
      <c r="L46" s="2">
        <v>864</v>
      </c>
      <c r="M46">
        <v>784</v>
      </c>
      <c r="N46">
        <v>80</v>
      </c>
    </row>
    <row r="47" spans="1:14" x14ac:dyDescent="0.3">
      <c r="A47" t="s">
        <v>108</v>
      </c>
      <c r="B47" s="6" t="str">
        <f>HYPERLINK("https://mennonite.britecorepro.com/gateway?file=core.router&amp;method=routeEntity&amp;entity_type=policy&amp;entity_number=01-2 R 31B", "01-2 R 31B")</f>
        <v>01-2 R 31B</v>
      </c>
      <c r="C47" s="6" t="s">
        <v>405</v>
      </c>
      <c r="D47" t="s">
        <v>28</v>
      </c>
      <c r="E47" s="1">
        <v>45637</v>
      </c>
      <c r="F47" s="1">
        <v>46002</v>
      </c>
      <c r="I47">
        <v>35000</v>
      </c>
      <c r="J47">
        <v>300000</v>
      </c>
      <c r="K47" s="2">
        <f t="shared" si="0"/>
        <v>35000</v>
      </c>
      <c r="L47" s="2">
        <v>160</v>
      </c>
      <c r="M47">
        <v>80</v>
      </c>
      <c r="N47">
        <v>80</v>
      </c>
    </row>
    <row r="48" spans="1:14" x14ac:dyDescent="0.3">
      <c r="A48" t="s">
        <v>153</v>
      </c>
      <c r="B48" s="6" t="str">
        <f>HYPERLINK("https://mennonite.britecorepro.com/gateway?file=core.router&amp;method=routeEntity&amp;entity_type=policy&amp;entity_number=01-2 R 46", "01-2 R 46")</f>
        <v>01-2 R 46</v>
      </c>
      <c r="C48" s="6" t="s">
        <v>405</v>
      </c>
      <c r="D48" t="s">
        <v>12</v>
      </c>
      <c r="E48" s="1">
        <v>45626</v>
      </c>
      <c r="F48" s="1">
        <v>45991</v>
      </c>
      <c r="G48">
        <v>345000</v>
      </c>
      <c r="I48">
        <v>172500</v>
      </c>
      <c r="J48">
        <v>300000</v>
      </c>
      <c r="K48" s="2">
        <f t="shared" si="0"/>
        <v>517500</v>
      </c>
      <c r="L48" s="2">
        <v>812</v>
      </c>
      <c r="M48">
        <v>732</v>
      </c>
      <c r="N48">
        <v>80</v>
      </c>
    </row>
    <row r="49" spans="1:14" x14ac:dyDescent="0.3">
      <c r="A49" t="s">
        <v>154</v>
      </c>
      <c r="B49" s="6" t="str">
        <f>HYPERLINK("https://mennonite.britecorepro.com/gateway?file=core.router&amp;method=routeEntity&amp;entity_type=policy&amp;entity_number=01-2 S 14", "01-2 S 14")</f>
        <v>01-2 S 14</v>
      </c>
      <c r="C49" s="6" t="s">
        <v>405</v>
      </c>
      <c r="D49" t="s">
        <v>12</v>
      </c>
      <c r="E49" s="1">
        <v>45626</v>
      </c>
      <c r="F49" s="1">
        <v>45991</v>
      </c>
      <c r="G49">
        <v>332000</v>
      </c>
      <c r="H49">
        <v>14000</v>
      </c>
      <c r="I49">
        <v>166000</v>
      </c>
      <c r="J49">
        <v>300000</v>
      </c>
      <c r="K49" s="2">
        <f t="shared" si="0"/>
        <v>512000</v>
      </c>
      <c r="L49" s="2">
        <v>670</v>
      </c>
      <c r="M49">
        <v>590</v>
      </c>
      <c r="N49">
        <v>80</v>
      </c>
    </row>
    <row r="50" spans="1:14" x14ac:dyDescent="0.3">
      <c r="A50" t="s">
        <v>63</v>
      </c>
      <c r="B50" s="6" t="str">
        <f>HYPERLINK("https://mennonite.britecorepro.com/gateway?file=core.router&amp;method=routeEntity&amp;entity_type=policy&amp;entity_number=01-2 S 63", "01-2 S 63")</f>
        <v>01-2 S 63</v>
      </c>
      <c r="C50" s="6" t="s">
        <v>405</v>
      </c>
      <c r="D50" t="s">
        <v>12</v>
      </c>
      <c r="E50" s="1">
        <v>45646</v>
      </c>
      <c r="F50" s="1">
        <v>46011</v>
      </c>
      <c r="G50">
        <v>801000</v>
      </c>
      <c r="H50">
        <v>157000</v>
      </c>
      <c r="I50">
        <v>400500</v>
      </c>
      <c r="J50">
        <v>300000</v>
      </c>
      <c r="K50" s="2">
        <f t="shared" si="0"/>
        <v>1358500</v>
      </c>
      <c r="L50" s="2">
        <v>3869</v>
      </c>
      <c r="M50">
        <v>3789</v>
      </c>
      <c r="N50">
        <v>80</v>
      </c>
    </row>
    <row r="51" spans="1:14" x14ac:dyDescent="0.3">
      <c r="A51" t="s">
        <v>122</v>
      </c>
      <c r="B51" s="6" t="str">
        <f>HYPERLINK("https://mennonite.britecorepro.com/gateway?file=core.router&amp;method=routeEntity&amp;entity_type=policy&amp;entity_number=01-2 V 10", "01-2 V 10")</f>
        <v>01-2 V 10</v>
      </c>
      <c r="C51" s="6" t="s">
        <v>405</v>
      </c>
      <c r="D51" t="s">
        <v>12</v>
      </c>
      <c r="E51" s="1">
        <v>45632</v>
      </c>
      <c r="F51" s="1">
        <v>45997</v>
      </c>
      <c r="G51">
        <v>393000</v>
      </c>
      <c r="I51">
        <v>196500</v>
      </c>
      <c r="J51">
        <v>300000</v>
      </c>
      <c r="K51" s="2">
        <f t="shared" si="0"/>
        <v>589500</v>
      </c>
      <c r="L51" s="2">
        <v>861</v>
      </c>
      <c r="M51">
        <v>781</v>
      </c>
      <c r="N51">
        <v>80</v>
      </c>
    </row>
    <row r="52" spans="1:14" x14ac:dyDescent="0.3">
      <c r="A52" t="s">
        <v>18</v>
      </c>
      <c r="B52" s="6" t="str">
        <f>HYPERLINK("https://mennonite.britecorepro.com/gateway?file=core.router&amp;method=routeEntity&amp;entity_type=policy&amp;entity_number=01-2 W 13B", "01-2 W 13B")</f>
        <v>01-2 W 13B</v>
      </c>
      <c r="C52" s="6" t="s">
        <v>405</v>
      </c>
      <c r="D52" t="s">
        <v>12</v>
      </c>
      <c r="E52" s="1">
        <v>45656</v>
      </c>
      <c r="F52" s="1">
        <v>46021</v>
      </c>
      <c r="G52">
        <v>759000</v>
      </c>
      <c r="H52">
        <v>174000</v>
      </c>
      <c r="I52">
        <v>379500</v>
      </c>
      <c r="J52">
        <v>500000</v>
      </c>
      <c r="K52" s="2">
        <f t="shared" si="0"/>
        <v>1312500</v>
      </c>
      <c r="L52" s="2">
        <v>2267</v>
      </c>
      <c r="M52">
        <v>2157</v>
      </c>
      <c r="N52">
        <v>110</v>
      </c>
    </row>
    <row r="53" spans="1:14" x14ac:dyDescent="0.3">
      <c r="A53" t="s">
        <v>233</v>
      </c>
      <c r="B53" s="6" t="str">
        <f>HYPERLINK("https://mennonite.britecorepro.com/gateway?file=core.router&amp;method=routeEntity&amp;entity_type=policy&amp;entity_number=01-2 W 71", "01-2 W 71")</f>
        <v>01-2 W 71</v>
      </c>
      <c r="C53" s="6" t="s">
        <v>405</v>
      </c>
      <c r="D53" t="s">
        <v>12</v>
      </c>
      <c r="E53" s="1">
        <v>45606</v>
      </c>
      <c r="F53" s="1">
        <v>45971</v>
      </c>
      <c r="G53">
        <v>602000</v>
      </c>
      <c r="I53">
        <v>301000</v>
      </c>
      <c r="J53">
        <v>300000</v>
      </c>
      <c r="K53" s="2">
        <f t="shared" si="0"/>
        <v>903000</v>
      </c>
      <c r="L53" s="2">
        <v>1141</v>
      </c>
      <c r="M53">
        <v>1061</v>
      </c>
      <c r="N53">
        <v>80</v>
      </c>
    </row>
    <row r="54" spans="1:14" x14ac:dyDescent="0.3">
      <c r="A54" t="s">
        <v>191</v>
      </c>
      <c r="B54" s="6" t="str">
        <f>HYPERLINK("https://mennonite.britecorepro.com/gateway?file=core.router&amp;method=routeEntity&amp;entity_type=policy&amp;entity_number=01-2 W 86A", "01-2 W 86A")</f>
        <v>01-2 W 86A</v>
      </c>
      <c r="C54" s="6" t="s">
        <v>405</v>
      </c>
      <c r="D54" t="s">
        <v>28</v>
      </c>
      <c r="E54" s="1">
        <v>45616</v>
      </c>
      <c r="F54" s="1">
        <v>45981</v>
      </c>
      <c r="I54">
        <v>50000</v>
      </c>
      <c r="J54">
        <v>300000</v>
      </c>
      <c r="K54" s="2">
        <f t="shared" si="0"/>
        <v>50000</v>
      </c>
      <c r="L54" s="2">
        <v>191</v>
      </c>
      <c r="M54">
        <v>111</v>
      </c>
      <c r="N54">
        <v>80</v>
      </c>
    </row>
    <row r="55" spans="1:14" x14ac:dyDescent="0.3">
      <c r="A55" t="s">
        <v>92</v>
      </c>
      <c r="B55" s="6" t="str">
        <f>HYPERLINK("https://mennonite.britecorepro.com/gateway?file=core.router&amp;method=routeEntity&amp;entity_type=policy&amp;entity_number=02-0 B 06B", "02-0 B 06B")</f>
        <v>02-0 B 06B</v>
      </c>
      <c r="C55" s="6" t="s">
        <v>405</v>
      </c>
      <c r="D55" t="s">
        <v>66</v>
      </c>
      <c r="E55" s="1">
        <v>45640</v>
      </c>
      <c r="F55" s="1">
        <v>46005</v>
      </c>
      <c r="G55">
        <v>365000</v>
      </c>
      <c r="I55">
        <v>109500</v>
      </c>
      <c r="J55">
        <v>500000</v>
      </c>
      <c r="K55" s="2">
        <f t="shared" si="0"/>
        <v>474500</v>
      </c>
      <c r="L55" s="2">
        <v>2171</v>
      </c>
      <c r="M55">
        <v>2141</v>
      </c>
      <c r="N55">
        <v>30</v>
      </c>
    </row>
    <row r="56" spans="1:14" x14ac:dyDescent="0.3">
      <c r="A56" t="s">
        <v>336</v>
      </c>
      <c r="B56" s="6" t="str">
        <f>HYPERLINK("https://mennonite.britecorepro.com/gateway?file=core.router&amp;method=routeEntity&amp;entity_type=policy&amp;entity_number=02-0 B 06C", "02-0 B 06C")</f>
        <v>02-0 B 06C</v>
      </c>
      <c r="C56" s="6" t="s">
        <v>405</v>
      </c>
      <c r="D56" t="s">
        <v>16</v>
      </c>
      <c r="E56" s="1">
        <v>45581</v>
      </c>
      <c r="F56" s="1">
        <v>45946</v>
      </c>
      <c r="G56">
        <v>551000</v>
      </c>
      <c r="I56">
        <v>1000</v>
      </c>
      <c r="J56">
        <v>500000</v>
      </c>
      <c r="K56" s="2">
        <f t="shared" si="0"/>
        <v>552000</v>
      </c>
      <c r="L56" s="2">
        <v>1157</v>
      </c>
      <c r="M56">
        <v>1117</v>
      </c>
      <c r="N56">
        <v>40</v>
      </c>
    </row>
    <row r="57" spans="1:14" x14ac:dyDescent="0.3">
      <c r="A57" t="s">
        <v>288</v>
      </c>
      <c r="B57" s="6" t="str">
        <f>HYPERLINK("https://mennonite.britecorepro.com/gateway?file=core.router&amp;method=routeEntity&amp;entity_type=policy&amp;entity_number=02-0 D 01", "02-0 D 01")</f>
        <v>02-0 D 01</v>
      </c>
      <c r="C57" s="6" t="s">
        <v>405</v>
      </c>
      <c r="D57" t="s">
        <v>12</v>
      </c>
      <c r="E57" s="1">
        <v>45593</v>
      </c>
      <c r="F57" s="1">
        <v>45958</v>
      </c>
      <c r="G57">
        <v>447000</v>
      </c>
      <c r="I57">
        <v>223500</v>
      </c>
      <c r="J57">
        <v>500000</v>
      </c>
      <c r="K57" s="2">
        <f t="shared" si="0"/>
        <v>670500</v>
      </c>
      <c r="L57" s="2">
        <v>776</v>
      </c>
      <c r="M57">
        <v>666</v>
      </c>
      <c r="N57">
        <v>110</v>
      </c>
    </row>
    <row r="58" spans="1:14" x14ac:dyDescent="0.3">
      <c r="A58" t="s">
        <v>289</v>
      </c>
      <c r="B58" s="6" t="str">
        <f>HYPERLINK("https://mennonite.britecorepro.com/gateway?file=core.router&amp;method=routeEntity&amp;entity_type=policy&amp;entity_number=02-0 D 01A", "02-0 D 01A")</f>
        <v>02-0 D 01A</v>
      </c>
      <c r="C58" s="6" t="s">
        <v>405</v>
      </c>
      <c r="D58" t="s">
        <v>66</v>
      </c>
      <c r="E58" s="1">
        <v>45593</v>
      </c>
      <c r="F58" s="1">
        <v>45958</v>
      </c>
      <c r="G58">
        <v>488000</v>
      </c>
      <c r="H58">
        <v>20000</v>
      </c>
      <c r="I58">
        <v>146400</v>
      </c>
      <c r="J58">
        <v>500000</v>
      </c>
      <c r="K58" s="2">
        <f t="shared" si="0"/>
        <v>654400</v>
      </c>
      <c r="L58" s="2">
        <v>2165</v>
      </c>
      <c r="M58">
        <v>2135</v>
      </c>
      <c r="N58">
        <v>30</v>
      </c>
    </row>
    <row r="59" spans="1:14" x14ac:dyDescent="0.3">
      <c r="A59" t="s">
        <v>327</v>
      </c>
      <c r="B59" s="6" t="str">
        <f>HYPERLINK("https://mennonite.britecorepro.com/gateway?file=core.router&amp;method=routeEntity&amp;entity_type=policy&amp;entity_number=02-0 D 01C", "02-0 D 01C")</f>
        <v>02-0 D 01C</v>
      </c>
      <c r="C59" s="6" t="s">
        <v>405</v>
      </c>
      <c r="D59" t="s">
        <v>16</v>
      </c>
      <c r="E59" s="1">
        <v>45583</v>
      </c>
      <c r="F59" s="1">
        <v>45948</v>
      </c>
      <c r="G59">
        <v>495000</v>
      </c>
      <c r="H59">
        <v>49000</v>
      </c>
      <c r="I59">
        <v>1000</v>
      </c>
      <c r="J59">
        <v>500000</v>
      </c>
      <c r="K59" s="2">
        <f t="shared" si="0"/>
        <v>545000</v>
      </c>
      <c r="L59" s="2">
        <v>1876</v>
      </c>
      <c r="M59">
        <v>1836</v>
      </c>
      <c r="N59">
        <v>40</v>
      </c>
    </row>
    <row r="60" spans="1:14" x14ac:dyDescent="0.3">
      <c r="A60" t="s">
        <v>295</v>
      </c>
      <c r="B60" s="6" t="str">
        <f>HYPERLINK("https://mennonite.britecorepro.com/gateway?file=core.router&amp;method=routeEntity&amp;entity_type=policy&amp;entity_number=02-0 E 09B", "02-0 E 09B")</f>
        <v>02-0 E 09B</v>
      </c>
      <c r="C60" s="6" t="s">
        <v>405</v>
      </c>
      <c r="D60" t="s">
        <v>12</v>
      </c>
      <c r="E60" s="1">
        <v>45592</v>
      </c>
      <c r="F60" s="1">
        <v>45957</v>
      </c>
      <c r="G60">
        <v>591000</v>
      </c>
      <c r="H60">
        <v>36000</v>
      </c>
      <c r="I60">
        <v>295500</v>
      </c>
      <c r="J60">
        <v>500000</v>
      </c>
      <c r="K60" s="2">
        <f t="shared" si="0"/>
        <v>922500</v>
      </c>
      <c r="L60" s="2">
        <v>1426</v>
      </c>
      <c r="M60">
        <v>1316</v>
      </c>
      <c r="N60">
        <v>110</v>
      </c>
    </row>
    <row r="61" spans="1:14" x14ac:dyDescent="0.3">
      <c r="A61" t="s">
        <v>42</v>
      </c>
      <c r="B61" s="6" t="str">
        <f>HYPERLINK("https://mennonite.britecorepro.com/gateway?file=core.router&amp;method=routeEntity&amp;entity_type=policy&amp;entity_number=02-0 E 13", "02-0 E 13")</f>
        <v>02-0 E 13</v>
      </c>
      <c r="C61" s="6" t="s">
        <v>405</v>
      </c>
      <c r="D61" t="s">
        <v>12</v>
      </c>
      <c r="E61" s="1">
        <v>45651</v>
      </c>
      <c r="F61" s="1">
        <v>46016</v>
      </c>
      <c r="G61">
        <v>358000</v>
      </c>
      <c r="H61">
        <v>25000</v>
      </c>
      <c r="I61">
        <v>179000</v>
      </c>
      <c r="J61">
        <v>300000</v>
      </c>
      <c r="K61" s="2">
        <f t="shared" si="0"/>
        <v>562000</v>
      </c>
      <c r="L61" s="2">
        <v>1044</v>
      </c>
      <c r="M61">
        <v>964</v>
      </c>
      <c r="N61">
        <v>80</v>
      </c>
    </row>
    <row r="62" spans="1:14" x14ac:dyDescent="0.3">
      <c r="A62" t="s">
        <v>72</v>
      </c>
      <c r="B62" s="6" t="str">
        <f>HYPERLINK("https://mennonite.britecorepro.com/gateway?file=core.router&amp;method=routeEntity&amp;entity_type=policy&amp;entity_number=02-0 F 02A", "02-0 F 02A")</f>
        <v>02-0 F 02A</v>
      </c>
      <c r="C62" s="6" t="s">
        <v>405</v>
      </c>
      <c r="D62" t="s">
        <v>12</v>
      </c>
      <c r="E62" s="1">
        <v>45645</v>
      </c>
      <c r="F62" s="1">
        <v>46010</v>
      </c>
      <c r="G62">
        <v>363000</v>
      </c>
      <c r="I62">
        <v>181500</v>
      </c>
      <c r="J62">
        <v>300000</v>
      </c>
      <c r="K62" s="2">
        <f t="shared" si="0"/>
        <v>544500</v>
      </c>
      <c r="L62" s="2">
        <v>613</v>
      </c>
      <c r="M62">
        <v>533</v>
      </c>
      <c r="N62">
        <v>80</v>
      </c>
    </row>
    <row r="63" spans="1:14" x14ac:dyDescent="0.3">
      <c r="A63" t="s">
        <v>94</v>
      </c>
      <c r="B63" s="6" t="str">
        <f>HYPERLINK("https://mennonite.britecorepro.com/gateway?file=core.router&amp;method=routeEntity&amp;entity_type=policy&amp;entity_number=02-0 F 20B", "02-0 F 20B")</f>
        <v>02-0 F 20B</v>
      </c>
      <c r="C63" s="6" t="s">
        <v>405</v>
      </c>
      <c r="D63" t="s">
        <v>12</v>
      </c>
      <c r="E63" s="1">
        <v>45639</v>
      </c>
      <c r="F63" s="1">
        <v>46004</v>
      </c>
      <c r="G63">
        <v>600000</v>
      </c>
      <c r="I63">
        <v>300000</v>
      </c>
      <c r="J63">
        <v>500000</v>
      </c>
      <c r="K63" s="2">
        <f t="shared" si="0"/>
        <v>900000</v>
      </c>
      <c r="L63" s="2">
        <v>906</v>
      </c>
      <c r="M63">
        <v>796</v>
      </c>
      <c r="N63">
        <v>110</v>
      </c>
    </row>
    <row r="64" spans="1:14" x14ac:dyDescent="0.3">
      <c r="A64" t="s">
        <v>43</v>
      </c>
      <c r="B64" s="6" t="str">
        <f>HYPERLINK("https://mennonite.britecorepro.com/gateway?file=core.router&amp;method=routeEntity&amp;entity_type=policy&amp;entity_number=02-0 F 20C", "02-0 F 20C")</f>
        <v>02-0 F 20C</v>
      </c>
      <c r="C64" s="6" t="s">
        <v>405</v>
      </c>
      <c r="D64" t="s">
        <v>16</v>
      </c>
      <c r="E64" s="1">
        <v>45650</v>
      </c>
      <c r="F64" s="1">
        <v>46015</v>
      </c>
      <c r="G64">
        <v>346000</v>
      </c>
      <c r="I64">
        <v>1000</v>
      </c>
      <c r="J64">
        <v>500000</v>
      </c>
      <c r="K64" s="2">
        <f t="shared" si="0"/>
        <v>347000</v>
      </c>
      <c r="L64" s="2">
        <v>752</v>
      </c>
      <c r="M64">
        <v>712</v>
      </c>
      <c r="N64">
        <v>40</v>
      </c>
    </row>
    <row r="65" spans="1:14" x14ac:dyDescent="0.3">
      <c r="A65" t="s">
        <v>239</v>
      </c>
      <c r="B65" s="6" t="str">
        <f>HYPERLINK("https://mennonite.britecorepro.com/gateway?file=core.router&amp;method=routeEntity&amp;entity_type=policy&amp;entity_number=02-0 H 23D", "02-0 H 23D")</f>
        <v>02-0 H 23D</v>
      </c>
      <c r="C65" s="6" t="s">
        <v>405</v>
      </c>
      <c r="D65" t="s">
        <v>28</v>
      </c>
      <c r="E65" s="1">
        <v>45605</v>
      </c>
      <c r="F65" s="1">
        <v>45970</v>
      </c>
      <c r="I65">
        <v>100000</v>
      </c>
      <c r="J65">
        <v>500000</v>
      </c>
      <c r="K65" s="2">
        <f t="shared" si="0"/>
        <v>100000</v>
      </c>
      <c r="L65" s="2">
        <v>389</v>
      </c>
      <c r="M65">
        <v>279</v>
      </c>
      <c r="N65">
        <v>110</v>
      </c>
    </row>
    <row r="66" spans="1:14" x14ac:dyDescent="0.3">
      <c r="A66" t="s">
        <v>192</v>
      </c>
      <c r="B66" s="6" t="str">
        <f>HYPERLINK("https://mennonite.britecorepro.com/gateway?file=core.router&amp;method=routeEntity&amp;entity_type=policy&amp;entity_number=02-0 h 47a", "02-0 h 47a")</f>
        <v>02-0 h 47a</v>
      </c>
      <c r="C66" s="6" t="s">
        <v>405</v>
      </c>
      <c r="D66" t="s">
        <v>12</v>
      </c>
      <c r="E66" s="1">
        <v>45616</v>
      </c>
      <c r="F66" s="1">
        <v>45981</v>
      </c>
      <c r="G66">
        <v>815000</v>
      </c>
      <c r="I66">
        <v>407500</v>
      </c>
      <c r="J66">
        <v>500000</v>
      </c>
      <c r="K66" s="2">
        <f t="shared" ref="K66:K129" si="1">G66+H66+I66</f>
        <v>1222500</v>
      </c>
      <c r="L66" s="2">
        <v>1183</v>
      </c>
      <c r="M66">
        <v>1073</v>
      </c>
      <c r="N66">
        <v>110</v>
      </c>
    </row>
    <row r="67" spans="1:14" x14ac:dyDescent="0.3">
      <c r="A67" t="s">
        <v>138</v>
      </c>
      <c r="B67" s="6" t="str">
        <f>HYPERLINK("https://mennonite.britecorepro.com/gateway?file=core.router&amp;method=routeEntity&amp;entity_type=policy&amp;entity_number=02-0 M 04L", "02-0 M 04L")</f>
        <v>02-0 M 04L</v>
      </c>
      <c r="C67" s="6" t="s">
        <v>405</v>
      </c>
      <c r="D67" t="s">
        <v>16</v>
      </c>
      <c r="E67" s="1">
        <v>45628</v>
      </c>
      <c r="F67" s="1">
        <v>45993</v>
      </c>
      <c r="G67">
        <v>273000</v>
      </c>
      <c r="I67">
        <v>1000</v>
      </c>
      <c r="J67">
        <v>300000</v>
      </c>
      <c r="K67" s="2">
        <f t="shared" si="1"/>
        <v>274000</v>
      </c>
      <c r="L67" s="2">
        <v>860</v>
      </c>
      <c r="M67">
        <v>830</v>
      </c>
      <c r="N67">
        <v>30</v>
      </c>
    </row>
    <row r="68" spans="1:14" x14ac:dyDescent="0.3">
      <c r="A68" t="s">
        <v>264</v>
      </c>
      <c r="B68" s="6" t="str">
        <f>HYPERLINK("https://mennonite.britecorepro.com/gateway?file=core.router&amp;method=routeEntity&amp;entity_type=policy&amp;entity_number=02-0 N 12", "02-0 N 12")</f>
        <v>02-0 N 12</v>
      </c>
      <c r="C68" s="6" t="s">
        <v>405</v>
      </c>
      <c r="D68" t="s">
        <v>12</v>
      </c>
      <c r="E68" s="1">
        <v>45597</v>
      </c>
      <c r="F68" s="1">
        <v>45962</v>
      </c>
      <c r="G68">
        <v>628000</v>
      </c>
      <c r="I68">
        <v>314000</v>
      </c>
      <c r="J68">
        <v>500000</v>
      </c>
      <c r="K68" s="2">
        <f t="shared" si="1"/>
        <v>942000</v>
      </c>
      <c r="L68" s="2">
        <v>1992</v>
      </c>
      <c r="M68">
        <v>1882</v>
      </c>
      <c r="N68">
        <v>110</v>
      </c>
    </row>
    <row r="69" spans="1:14" x14ac:dyDescent="0.3">
      <c r="A69" t="s">
        <v>56</v>
      </c>
      <c r="B69" s="6" t="str">
        <f>HYPERLINK("https://mennonite.britecorepro.com/gateway?file=core.router&amp;method=routeEntity&amp;entity_type=policy&amp;entity_number=02-0 S 11", "02-0 S 11")</f>
        <v>02-0 S 11</v>
      </c>
      <c r="C69" s="6" t="s">
        <v>405</v>
      </c>
      <c r="D69" t="s">
        <v>12</v>
      </c>
      <c r="E69" s="1">
        <v>45647</v>
      </c>
      <c r="F69" s="1">
        <v>46012</v>
      </c>
      <c r="G69">
        <v>422000</v>
      </c>
      <c r="I69">
        <v>211000</v>
      </c>
      <c r="J69">
        <v>300000</v>
      </c>
      <c r="K69" s="2">
        <f t="shared" si="1"/>
        <v>633000</v>
      </c>
      <c r="L69" s="2">
        <v>640</v>
      </c>
      <c r="M69">
        <v>560</v>
      </c>
      <c r="N69">
        <v>80</v>
      </c>
    </row>
    <row r="70" spans="1:14" x14ac:dyDescent="0.3">
      <c r="A70" t="s">
        <v>328</v>
      </c>
      <c r="B70" s="6" t="str">
        <f>HYPERLINK("https://mennonite.britecorepro.com/gateway?file=core.router&amp;method=routeEntity&amp;entity_type=policy&amp;entity_number=02-0 S 24C", "02-0 S 24C")</f>
        <v>02-0 S 24C</v>
      </c>
      <c r="C70" s="6" t="s">
        <v>405</v>
      </c>
      <c r="D70" t="s">
        <v>12</v>
      </c>
      <c r="E70" s="1">
        <v>45583</v>
      </c>
      <c r="F70" s="1">
        <v>45948</v>
      </c>
      <c r="G70">
        <v>510000</v>
      </c>
      <c r="I70">
        <v>255000</v>
      </c>
      <c r="K70" s="2">
        <f t="shared" si="1"/>
        <v>765000</v>
      </c>
      <c r="L70" s="2">
        <v>860</v>
      </c>
      <c r="M70">
        <v>860</v>
      </c>
    </row>
    <row r="71" spans="1:14" x14ac:dyDescent="0.3">
      <c r="A71" t="s">
        <v>168</v>
      </c>
      <c r="B71" s="6" t="str">
        <f>HYPERLINK("https://mennonite.britecorepro.com/gateway?file=core.router&amp;method=routeEntity&amp;entity_type=policy&amp;entity_number=02-0 S 29C", "02-0 S 29C")</f>
        <v>02-0 S 29C</v>
      </c>
      <c r="C71" s="6" t="s">
        <v>405</v>
      </c>
      <c r="D71" t="s">
        <v>16</v>
      </c>
      <c r="E71" s="1">
        <v>45621</v>
      </c>
      <c r="F71" s="1">
        <v>45986</v>
      </c>
      <c r="G71">
        <v>720000</v>
      </c>
      <c r="I71">
        <v>1000</v>
      </c>
      <c r="J71">
        <v>500000</v>
      </c>
      <c r="K71" s="2">
        <f t="shared" si="1"/>
        <v>721000</v>
      </c>
      <c r="L71" s="2">
        <v>3590</v>
      </c>
      <c r="M71">
        <v>3550</v>
      </c>
      <c r="N71">
        <v>40</v>
      </c>
    </row>
    <row r="72" spans="1:14" x14ac:dyDescent="0.3">
      <c r="A72" t="s">
        <v>226</v>
      </c>
      <c r="B72" s="6" t="str">
        <f>HYPERLINK("https://mennonite.britecorepro.com/gateway?file=core.router&amp;method=routeEntity&amp;entity_type=policy&amp;entity_number=02-0 W 13", "02-0 W 13")</f>
        <v>02-0 W 13</v>
      </c>
      <c r="C72" s="6" t="s">
        <v>405</v>
      </c>
      <c r="D72" t="s">
        <v>12</v>
      </c>
      <c r="E72" s="1">
        <v>45608</v>
      </c>
      <c r="F72" s="1">
        <v>45973</v>
      </c>
      <c r="G72">
        <v>415000</v>
      </c>
      <c r="I72">
        <v>207500</v>
      </c>
      <c r="J72">
        <v>500000</v>
      </c>
      <c r="K72" s="2">
        <f t="shared" si="1"/>
        <v>622500</v>
      </c>
      <c r="L72" s="2">
        <v>773</v>
      </c>
      <c r="M72">
        <v>663</v>
      </c>
      <c r="N72">
        <v>110</v>
      </c>
    </row>
    <row r="73" spans="1:14" x14ac:dyDescent="0.3">
      <c r="A73" t="s">
        <v>229</v>
      </c>
      <c r="B73" s="6" t="str">
        <f>HYPERLINK("https://mennonite.britecorepro.com/gateway?file=core.router&amp;method=routeEntity&amp;entity_type=policy&amp;entity_number=02-0 W 14A", "02-0 W 14A")</f>
        <v>02-0 W 14A</v>
      </c>
      <c r="C73" s="6" t="s">
        <v>405</v>
      </c>
      <c r="D73" t="s">
        <v>12</v>
      </c>
      <c r="E73" s="1">
        <v>45607</v>
      </c>
      <c r="F73" s="1">
        <v>45972</v>
      </c>
      <c r="G73">
        <v>474000</v>
      </c>
      <c r="I73">
        <v>237000</v>
      </c>
      <c r="J73">
        <v>300000</v>
      </c>
      <c r="K73" s="2">
        <f t="shared" si="1"/>
        <v>711000</v>
      </c>
      <c r="L73" s="2">
        <v>1313</v>
      </c>
      <c r="M73">
        <v>1233</v>
      </c>
      <c r="N73">
        <v>80</v>
      </c>
    </row>
    <row r="74" spans="1:14" x14ac:dyDescent="0.3">
      <c r="A74" t="s">
        <v>354</v>
      </c>
      <c r="B74" s="6" t="str">
        <f>HYPERLINK("https://mennonite.britecorepro.com/gateway?file=core.router&amp;method=routeEntity&amp;entity_type=policy&amp;entity_number=03-0 B 08E", "03-0 B 08E")</f>
        <v>03-0 B 08E</v>
      </c>
      <c r="C74" s="6" t="s">
        <v>405</v>
      </c>
      <c r="D74" t="s">
        <v>12</v>
      </c>
      <c r="E74" s="1">
        <v>45576</v>
      </c>
      <c r="F74" s="1">
        <v>45941</v>
      </c>
      <c r="G74">
        <v>1828000</v>
      </c>
      <c r="I74">
        <v>914000</v>
      </c>
      <c r="J74">
        <v>500000</v>
      </c>
      <c r="K74" s="2">
        <f t="shared" si="1"/>
        <v>2742000</v>
      </c>
      <c r="L74" s="2">
        <v>2656</v>
      </c>
      <c r="M74">
        <v>2546</v>
      </c>
      <c r="N74">
        <v>110</v>
      </c>
    </row>
    <row r="75" spans="1:14" x14ac:dyDescent="0.3">
      <c r="A75" t="s">
        <v>196</v>
      </c>
      <c r="B75" s="6" t="str">
        <f>HYPERLINK("https://mennonite.britecorepro.com/gateway?file=core.router&amp;method=routeEntity&amp;entity_type=policy&amp;entity_number=03-0 B 13C", "03-0 B 13C")</f>
        <v>03-0 B 13C</v>
      </c>
      <c r="C75" s="6" t="s">
        <v>405</v>
      </c>
      <c r="D75" t="s">
        <v>12</v>
      </c>
      <c r="E75" s="1">
        <v>45615</v>
      </c>
      <c r="F75" s="1">
        <v>45980</v>
      </c>
      <c r="G75">
        <v>556000</v>
      </c>
      <c r="I75">
        <v>278000</v>
      </c>
      <c r="J75">
        <v>300000</v>
      </c>
      <c r="K75" s="2">
        <f t="shared" si="1"/>
        <v>834000</v>
      </c>
      <c r="L75" s="2">
        <v>1030</v>
      </c>
      <c r="M75">
        <v>950</v>
      </c>
      <c r="N75">
        <v>80</v>
      </c>
    </row>
    <row r="76" spans="1:14" x14ac:dyDescent="0.3">
      <c r="A76" t="s">
        <v>383</v>
      </c>
      <c r="B76" s="6" t="str">
        <f>HYPERLINK("https://mennonite.britecorepro.com/gateway?file=core.router&amp;method=routeEntity&amp;entity_type=policy&amp;entity_number=03-0 B 20B", "03-0 B 20B")</f>
        <v>03-0 B 20B</v>
      </c>
      <c r="C76" s="6" t="s">
        <v>405</v>
      </c>
      <c r="D76" t="s">
        <v>28</v>
      </c>
      <c r="E76" s="1">
        <v>45568</v>
      </c>
      <c r="F76" s="1">
        <v>45933</v>
      </c>
      <c r="I76">
        <v>35000</v>
      </c>
      <c r="J76">
        <v>500000</v>
      </c>
      <c r="K76" s="2">
        <f t="shared" si="1"/>
        <v>35000</v>
      </c>
      <c r="L76" s="2">
        <v>201</v>
      </c>
      <c r="M76">
        <v>91</v>
      </c>
      <c r="N76">
        <v>110</v>
      </c>
    </row>
    <row r="77" spans="1:14" x14ac:dyDescent="0.3">
      <c r="A77" t="s">
        <v>309</v>
      </c>
      <c r="B77" s="6" t="str">
        <f>HYPERLINK("https://mennonite.britecorepro.com/gateway?file=core.router&amp;method=routeEntity&amp;entity_type=policy&amp;entity_number=03-0 C 04C", "03-0 C 04C")</f>
        <v>03-0 C 04C</v>
      </c>
      <c r="C77" s="6" t="s">
        <v>405</v>
      </c>
      <c r="D77" t="s">
        <v>16</v>
      </c>
      <c r="E77" s="1">
        <v>45588</v>
      </c>
      <c r="F77" s="1">
        <v>45953</v>
      </c>
      <c r="G77">
        <v>585000</v>
      </c>
      <c r="I77">
        <v>1000</v>
      </c>
      <c r="J77">
        <v>500000</v>
      </c>
      <c r="K77" s="2">
        <f t="shared" si="1"/>
        <v>586000</v>
      </c>
      <c r="L77" s="2">
        <v>1198</v>
      </c>
      <c r="M77">
        <v>1158</v>
      </c>
      <c r="N77">
        <v>40</v>
      </c>
    </row>
    <row r="78" spans="1:14" x14ac:dyDescent="0.3">
      <c r="A78" t="s">
        <v>343</v>
      </c>
      <c r="B78" s="6" t="str">
        <f>HYPERLINK("https://mennonite.britecorepro.com/gateway?file=core.router&amp;method=routeEntity&amp;entity_type=policy&amp;entity_number=03-0 C 04D", "03-0 C 04D")</f>
        <v>03-0 C 04D</v>
      </c>
      <c r="C78" s="6" t="s">
        <v>405</v>
      </c>
      <c r="D78" t="s">
        <v>12</v>
      </c>
      <c r="E78" s="1">
        <v>45580</v>
      </c>
      <c r="F78" s="1">
        <v>45945</v>
      </c>
      <c r="G78">
        <v>892000</v>
      </c>
      <c r="I78">
        <v>446000</v>
      </c>
      <c r="J78">
        <v>500000</v>
      </c>
      <c r="K78" s="2">
        <f t="shared" si="1"/>
        <v>1338000</v>
      </c>
      <c r="L78" s="2">
        <v>1131</v>
      </c>
      <c r="M78">
        <v>1021</v>
      </c>
      <c r="N78">
        <v>110</v>
      </c>
    </row>
    <row r="79" spans="1:14" x14ac:dyDescent="0.3">
      <c r="A79" t="s">
        <v>169</v>
      </c>
      <c r="B79" s="6" t="str">
        <f>HYPERLINK("https://mennonite.britecorepro.com/gateway?file=core.router&amp;method=routeEntity&amp;entity_type=policy&amp;entity_number=03-0 C 16", "03-0 C 16")</f>
        <v>03-0 C 16</v>
      </c>
      <c r="C79" s="6" t="s">
        <v>405</v>
      </c>
      <c r="D79" t="s">
        <v>12</v>
      </c>
      <c r="E79" s="1">
        <v>45621</v>
      </c>
      <c r="F79" s="1">
        <v>45986</v>
      </c>
      <c r="G79">
        <v>1079000</v>
      </c>
      <c r="I79">
        <v>539500</v>
      </c>
      <c r="K79" s="2">
        <f t="shared" si="1"/>
        <v>1618500</v>
      </c>
      <c r="L79" s="2">
        <v>1510</v>
      </c>
      <c r="M79">
        <v>1510</v>
      </c>
    </row>
    <row r="80" spans="1:14" x14ac:dyDescent="0.3">
      <c r="A80" t="s">
        <v>252</v>
      </c>
      <c r="B80" s="6" t="str">
        <f>HYPERLINK("https://mennonite.britecorepro.com/gateway?file=core.router&amp;method=routeEntity&amp;entity_type=policy&amp;entity_number=03-0 C 18B", "03-0 C 18B")</f>
        <v>03-0 C 18B</v>
      </c>
      <c r="C80" s="6" t="s">
        <v>405</v>
      </c>
      <c r="D80" t="s">
        <v>28</v>
      </c>
      <c r="E80" s="1">
        <v>45602</v>
      </c>
      <c r="F80" s="1">
        <v>45967</v>
      </c>
      <c r="I80">
        <v>35000</v>
      </c>
      <c r="J80">
        <v>300000</v>
      </c>
      <c r="K80" s="2">
        <f t="shared" si="1"/>
        <v>35000</v>
      </c>
      <c r="L80" s="2">
        <v>171</v>
      </c>
      <c r="M80">
        <v>91</v>
      </c>
      <c r="N80">
        <v>80</v>
      </c>
    </row>
    <row r="81" spans="1:14" x14ac:dyDescent="0.3">
      <c r="A81" t="s">
        <v>27</v>
      </c>
      <c r="B81" s="6" t="str">
        <f>HYPERLINK("https://mennonite.britecorepro.com/gateway?file=core.router&amp;method=routeEntity&amp;entity_type=policy&amp;entity_number=03-0 L 07A", "03-0 L 07A")</f>
        <v>03-0 L 07A</v>
      </c>
      <c r="C81" s="6" t="s">
        <v>405</v>
      </c>
      <c r="D81" t="s">
        <v>28</v>
      </c>
      <c r="E81" s="1">
        <v>45654</v>
      </c>
      <c r="F81" s="1">
        <v>46019</v>
      </c>
      <c r="I81">
        <v>35000</v>
      </c>
      <c r="J81">
        <v>300000</v>
      </c>
      <c r="K81" s="2">
        <f t="shared" si="1"/>
        <v>35000</v>
      </c>
      <c r="L81" s="2">
        <v>160</v>
      </c>
      <c r="M81">
        <v>80</v>
      </c>
      <c r="N81">
        <v>80</v>
      </c>
    </row>
    <row r="82" spans="1:14" x14ac:dyDescent="0.3">
      <c r="A82" t="s">
        <v>230</v>
      </c>
      <c r="B82" s="6" t="str">
        <f>HYPERLINK("https://mennonite.britecorepro.com/gateway?file=core.router&amp;method=routeEntity&amp;entity_type=policy&amp;entity_number=03-0 O 04B", "03-0 O 04B")</f>
        <v>03-0 O 04B</v>
      </c>
      <c r="C82" s="6" t="s">
        <v>405</v>
      </c>
      <c r="D82" t="s">
        <v>12</v>
      </c>
      <c r="E82" s="1">
        <v>45607</v>
      </c>
      <c r="F82" s="1">
        <v>45972</v>
      </c>
      <c r="G82">
        <v>427000</v>
      </c>
      <c r="I82">
        <v>213500</v>
      </c>
      <c r="J82">
        <v>300000</v>
      </c>
      <c r="K82" s="2">
        <f t="shared" si="1"/>
        <v>640500</v>
      </c>
      <c r="L82" s="2">
        <v>716</v>
      </c>
      <c r="M82">
        <v>636</v>
      </c>
      <c r="N82">
        <v>80</v>
      </c>
    </row>
    <row r="83" spans="1:14" x14ac:dyDescent="0.3">
      <c r="A83" t="s">
        <v>49</v>
      </c>
      <c r="B83" s="6" t="str">
        <f>HYPERLINK("https://mennonite.britecorepro.com/gateway?file=core.router&amp;method=routeEntity&amp;entity_type=policy&amp;entity_number=03-0 O 15", "03-0 O 15")</f>
        <v>03-0 O 15</v>
      </c>
      <c r="C83" s="6" t="s">
        <v>405</v>
      </c>
      <c r="D83" t="s">
        <v>12</v>
      </c>
      <c r="E83" s="1">
        <v>45648</v>
      </c>
      <c r="F83" s="1">
        <v>46013</v>
      </c>
      <c r="G83">
        <v>500000</v>
      </c>
      <c r="I83">
        <v>250000</v>
      </c>
      <c r="J83">
        <v>300000</v>
      </c>
      <c r="K83" s="2">
        <f t="shared" si="1"/>
        <v>750000</v>
      </c>
      <c r="L83" s="2">
        <v>828</v>
      </c>
      <c r="M83">
        <v>748</v>
      </c>
      <c r="N83">
        <v>80</v>
      </c>
    </row>
    <row r="84" spans="1:14" x14ac:dyDescent="0.3">
      <c r="A84" t="s">
        <v>57</v>
      </c>
      <c r="B84" s="6" t="str">
        <f>HYPERLINK("https://mennonite.britecorepro.com/gateway?file=core.router&amp;method=routeEntity&amp;entity_type=policy&amp;entity_number=03-0 P 12G", "03-0 P 12G")</f>
        <v>03-0 P 12G</v>
      </c>
      <c r="C84" s="6" t="s">
        <v>405</v>
      </c>
      <c r="D84" t="s">
        <v>12</v>
      </c>
      <c r="E84" s="1">
        <v>45647</v>
      </c>
      <c r="F84" s="1">
        <v>46012</v>
      </c>
      <c r="G84">
        <v>1450000</v>
      </c>
      <c r="I84">
        <v>725000</v>
      </c>
      <c r="J84">
        <v>300000</v>
      </c>
      <c r="K84" s="2">
        <f t="shared" si="1"/>
        <v>2175000</v>
      </c>
      <c r="L84" s="2">
        <v>2098</v>
      </c>
      <c r="M84">
        <v>2018</v>
      </c>
      <c r="N84">
        <v>80</v>
      </c>
    </row>
    <row r="85" spans="1:14" x14ac:dyDescent="0.3">
      <c r="A85" t="s">
        <v>302</v>
      </c>
      <c r="B85" s="6" t="str">
        <f>HYPERLINK("https://mennonite.britecorepro.com/gateway?file=core.router&amp;method=routeEntity&amp;entity_type=policy&amp;entity_number=03-0 R 04P", "03-0 R 04P")</f>
        <v>03-0 R 04P</v>
      </c>
      <c r="C85" s="6" t="s">
        <v>405</v>
      </c>
      <c r="D85" t="s">
        <v>16</v>
      </c>
      <c r="E85" s="1">
        <v>45590</v>
      </c>
      <c r="F85" s="1">
        <v>45955</v>
      </c>
      <c r="G85">
        <v>626000</v>
      </c>
      <c r="H85">
        <v>83000</v>
      </c>
      <c r="I85">
        <v>1000</v>
      </c>
      <c r="J85">
        <v>300000</v>
      </c>
      <c r="K85" s="2">
        <f t="shared" si="1"/>
        <v>710000</v>
      </c>
      <c r="L85" s="2">
        <v>1934</v>
      </c>
      <c r="M85">
        <v>1904</v>
      </c>
      <c r="N85">
        <v>30</v>
      </c>
    </row>
    <row r="86" spans="1:14" x14ac:dyDescent="0.3">
      <c r="A86" t="s">
        <v>312</v>
      </c>
      <c r="B86" s="6" t="str">
        <f>HYPERLINK("https://mennonite.britecorepro.com/gateway?file=core.router&amp;method=routeEntity&amp;entity_type=policy&amp;entity_number=03-0 R 04S", "03-0 R 04S")</f>
        <v>03-0 R 04S</v>
      </c>
      <c r="C86" s="6" t="s">
        <v>405</v>
      </c>
      <c r="D86" t="s">
        <v>66</v>
      </c>
      <c r="E86" s="1">
        <v>45587</v>
      </c>
      <c r="F86" s="1">
        <v>45952</v>
      </c>
      <c r="G86">
        <v>582000</v>
      </c>
      <c r="H86">
        <v>208000</v>
      </c>
      <c r="I86">
        <v>174600</v>
      </c>
      <c r="J86">
        <v>300000</v>
      </c>
      <c r="K86" s="2">
        <f t="shared" si="1"/>
        <v>964600</v>
      </c>
      <c r="L86" s="2">
        <v>3195</v>
      </c>
      <c r="M86">
        <v>3175</v>
      </c>
      <c r="N86">
        <v>20</v>
      </c>
    </row>
    <row r="87" spans="1:14" x14ac:dyDescent="0.3">
      <c r="A87" t="s">
        <v>73</v>
      </c>
      <c r="B87" s="6" t="str">
        <f>HYPERLINK("https://mennonite.britecorepro.com/gateway?file=core.router&amp;method=routeEntity&amp;entity_type=policy&amp;entity_number=03-0 S 12", "03-0 S 12")</f>
        <v>03-0 S 12</v>
      </c>
      <c r="C87" s="6" t="s">
        <v>405</v>
      </c>
      <c r="D87" t="s">
        <v>12</v>
      </c>
      <c r="E87" s="1">
        <v>45645</v>
      </c>
      <c r="F87" s="1">
        <v>46010</v>
      </c>
      <c r="G87">
        <v>432000</v>
      </c>
      <c r="I87">
        <v>216000</v>
      </c>
      <c r="J87">
        <v>500000</v>
      </c>
      <c r="K87" s="2">
        <f t="shared" si="1"/>
        <v>648000</v>
      </c>
      <c r="L87" s="2">
        <v>938</v>
      </c>
      <c r="M87">
        <v>828</v>
      </c>
      <c r="N87">
        <v>110</v>
      </c>
    </row>
    <row r="88" spans="1:14" x14ac:dyDescent="0.3">
      <c r="A88" t="s">
        <v>234</v>
      </c>
      <c r="B88" s="6" t="str">
        <f>HYPERLINK("https://mennonite.britecorepro.com/gateway?file=core.router&amp;method=routeEntity&amp;entity_type=policy&amp;entity_number=03-0 S 26", "03-0 S 26")</f>
        <v>03-0 S 26</v>
      </c>
      <c r="C88" s="6" t="s">
        <v>405</v>
      </c>
      <c r="D88" t="s">
        <v>12</v>
      </c>
      <c r="E88" s="1">
        <v>45606</v>
      </c>
      <c r="F88" s="1">
        <v>45971</v>
      </c>
      <c r="G88">
        <v>554000</v>
      </c>
      <c r="I88">
        <v>277000</v>
      </c>
      <c r="J88">
        <v>300000</v>
      </c>
      <c r="K88" s="2">
        <f t="shared" si="1"/>
        <v>831000</v>
      </c>
      <c r="L88" s="2">
        <v>991</v>
      </c>
      <c r="M88">
        <v>911</v>
      </c>
      <c r="N88">
        <v>80</v>
      </c>
    </row>
    <row r="89" spans="1:14" x14ac:dyDescent="0.3">
      <c r="A89" t="s">
        <v>204</v>
      </c>
      <c r="B89" s="6" t="str">
        <f>HYPERLINK("https://mennonite.britecorepro.com/gateway?file=core.router&amp;method=routeEntity&amp;entity_type=policy&amp;entity_number=04-0 B 10", "04-0 B 10")</f>
        <v>04-0 B 10</v>
      </c>
      <c r="C89" s="6" t="s">
        <v>405</v>
      </c>
      <c r="D89" t="s">
        <v>12</v>
      </c>
      <c r="E89" s="1">
        <v>45613</v>
      </c>
      <c r="F89" s="1">
        <v>45978</v>
      </c>
      <c r="G89">
        <v>408000</v>
      </c>
      <c r="I89">
        <v>204000</v>
      </c>
      <c r="J89">
        <v>500000</v>
      </c>
      <c r="K89" s="2">
        <f t="shared" si="1"/>
        <v>612000</v>
      </c>
      <c r="L89" s="2">
        <v>676</v>
      </c>
      <c r="M89">
        <v>566</v>
      </c>
      <c r="N89">
        <v>110</v>
      </c>
    </row>
    <row r="90" spans="1:14" x14ac:dyDescent="0.3">
      <c r="A90" t="s">
        <v>147</v>
      </c>
      <c r="B90" s="6" t="str">
        <f>HYPERLINK("https://mennonite.britecorepro.com/gateway?file=core.router&amp;method=routeEntity&amp;entity_type=policy&amp;entity_number=04-0 D 02", "04-0 D 02")</f>
        <v>04-0 D 02</v>
      </c>
      <c r="C90" s="6" t="s">
        <v>405</v>
      </c>
      <c r="D90" t="s">
        <v>12</v>
      </c>
      <c r="E90" s="1">
        <v>45627</v>
      </c>
      <c r="F90" s="1">
        <v>45992</v>
      </c>
      <c r="G90">
        <v>610000</v>
      </c>
      <c r="H90">
        <v>62588</v>
      </c>
      <c r="I90">
        <v>305000</v>
      </c>
      <c r="J90">
        <v>500000</v>
      </c>
      <c r="K90" s="2">
        <f t="shared" si="1"/>
        <v>977588</v>
      </c>
      <c r="L90" s="2">
        <v>2200</v>
      </c>
      <c r="M90">
        <v>2090</v>
      </c>
      <c r="N90">
        <v>110</v>
      </c>
    </row>
    <row r="91" spans="1:14" x14ac:dyDescent="0.3">
      <c r="A91" t="s">
        <v>197</v>
      </c>
      <c r="B91" s="6" t="str">
        <f>HYPERLINK("https://mennonite.britecorepro.com/gateway?file=core.router&amp;method=routeEntity&amp;entity_type=policy&amp;entity_number=04-0 F 05", "04-0 F 05")</f>
        <v>04-0 F 05</v>
      </c>
      <c r="C91" s="6" t="s">
        <v>405</v>
      </c>
      <c r="D91" t="s">
        <v>12</v>
      </c>
      <c r="E91" s="1">
        <v>45615</v>
      </c>
      <c r="F91" s="1">
        <v>45980</v>
      </c>
      <c r="G91">
        <v>634000</v>
      </c>
      <c r="I91">
        <v>317000</v>
      </c>
      <c r="J91">
        <v>300000</v>
      </c>
      <c r="K91" s="2">
        <f t="shared" si="1"/>
        <v>951000</v>
      </c>
      <c r="L91" s="2">
        <v>1097</v>
      </c>
      <c r="M91">
        <v>1017</v>
      </c>
      <c r="N91">
        <v>80</v>
      </c>
    </row>
    <row r="92" spans="1:14" x14ac:dyDescent="0.3">
      <c r="A92" t="s">
        <v>155</v>
      </c>
      <c r="B92" s="6" t="str">
        <f>HYPERLINK("https://mennonite.britecorepro.com/gateway?file=core.router&amp;method=routeEntity&amp;entity_type=policy&amp;entity_number=04-0 I 01", "04-0 I 01")</f>
        <v>04-0 I 01</v>
      </c>
      <c r="C92" s="6" t="s">
        <v>405</v>
      </c>
      <c r="D92" t="s">
        <v>12</v>
      </c>
      <c r="E92" s="1">
        <v>45626</v>
      </c>
      <c r="F92" s="1">
        <v>45991</v>
      </c>
      <c r="G92">
        <v>603000</v>
      </c>
      <c r="I92">
        <v>301500</v>
      </c>
      <c r="J92">
        <v>300000</v>
      </c>
      <c r="K92" s="2">
        <f t="shared" si="1"/>
        <v>904500</v>
      </c>
      <c r="L92" s="2">
        <v>1287</v>
      </c>
      <c r="M92">
        <v>1207</v>
      </c>
      <c r="N92">
        <v>80</v>
      </c>
    </row>
    <row r="93" spans="1:14" x14ac:dyDescent="0.3">
      <c r="A93" t="s">
        <v>109</v>
      </c>
      <c r="B93" s="6" t="str">
        <f>HYPERLINK("https://mennonite.britecorepro.com/gateway?file=core.router&amp;method=routeEntity&amp;entity_type=policy&amp;entity_number=04-0 M 03A", "04-0 M 03A")</f>
        <v>04-0 M 03A</v>
      </c>
      <c r="C93" s="6" t="s">
        <v>405</v>
      </c>
      <c r="D93" t="s">
        <v>12</v>
      </c>
      <c r="E93" s="1">
        <v>45637</v>
      </c>
      <c r="F93" s="1">
        <v>46002</v>
      </c>
      <c r="G93">
        <v>761000</v>
      </c>
      <c r="I93">
        <v>380500</v>
      </c>
      <c r="J93">
        <v>300000</v>
      </c>
      <c r="K93" s="2">
        <f t="shared" si="1"/>
        <v>1141500</v>
      </c>
      <c r="L93" s="2">
        <v>1367</v>
      </c>
      <c r="M93">
        <v>1287</v>
      </c>
      <c r="N93">
        <v>80</v>
      </c>
    </row>
    <row r="94" spans="1:14" x14ac:dyDescent="0.3">
      <c r="A94" t="s">
        <v>271</v>
      </c>
      <c r="B94" s="6" t="str">
        <f>HYPERLINK("https://mennonite.britecorepro.com/gateway?file=core.router&amp;method=routeEntity&amp;entity_type=policy&amp;entity_number=04-0 P 04", "04-0 P 04")</f>
        <v>04-0 P 04</v>
      </c>
      <c r="C94" s="6" t="s">
        <v>405</v>
      </c>
      <c r="D94" t="s">
        <v>68</v>
      </c>
      <c r="E94" s="1">
        <v>45596</v>
      </c>
      <c r="F94" s="1">
        <v>45961</v>
      </c>
      <c r="G94">
        <v>507000</v>
      </c>
      <c r="I94">
        <v>51000</v>
      </c>
      <c r="K94" s="2">
        <f t="shared" si="1"/>
        <v>558000</v>
      </c>
      <c r="L94" s="2">
        <v>904</v>
      </c>
      <c r="M94">
        <v>904</v>
      </c>
    </row>
    <row r="95" spans="1:14" x14ac:dyDescent="0.3">
      <c r="A95" t="s">
        <v>255</v>
      </c>
      <c r="B95" s="6" t="str">
        <f>HYPERLINK("https://mennonite.britecorepro.com/gateway?file=core.router&amp;method=routeEntity&amp;entity_type=policy&amp;entity_number=04-0 R 05A", "04-0 R 05A")</f>
        <v>04-0 R 05A</v>
      </c>
      <c r="C95" s="6" t="s">
        <v>405</v>
      </c>
      <c r="D95" t="s">
        <v>12</v>
      </c>
      <c r="E95" s="1">
        <v>45600</v>
      </c>
      <c r="F95" s="1">
        <v>45965</v>
      </c>
      <c r="G95">
        <v>631000</v>
      </c>
      <c r="I95">
        <v>315500</v>
      </c>
      <c r="J95">
        <v>300000</v>
      </c>
      <c r="K95" s="2">
        <f t="shared" si="1"/>
        <v>946500</v>
      </c>
      <c r="L95" s="2">
        <v>1159</v>
      </c>
      <c r="M95">
        <v>1079</v>
      </c>
      <c r="N95">
        <v>80</v>
      </c>
    </row>
    <row r="96" spans="1:14" x14ac:dyDescent="0.3">
      <c r="A96" t="s">
        <v>323</v>
      </c>
      <c r="B96" s="6" t="str">
        <f>HYPERLINK("https://mennonite.britecorepro.com/gateway?file=core.router&amp;method=routeEntity&amp;entity_type=policy&amp;entity_number=04-0 W 05", "04-0 W 05")</f>
        <v>04-0 W 05</v>
      </c>
      <c r="C96" s="6" t="s">
        <v>405</v>
      </c>
      <c r="D96" t="s">
        <v>12</v>
      </c>
      <c r="E96" s="1">
        <v>45584</v>
      </c>
      <c r="F96" s="1">
        <v>45949</v>
      </c>
      <c r="G96">
        <v>540000</v>
      </c>
      <c r="H96">
        <v>45000</v>
      </c>
      <c r="I96">
        <v>270000</v>
      </c>
      <c r="J96">
        <v>500000</v>
      </c>
      <c r="K96" s="2">
        <f t="shared" si="1"/>
        <v>855000</v>
      </c>
      <c r="L96" s="2">
        <v>613</v>
      </c>
      <c r="M96">
        <v>503</v>
      </c>
      <c r="N96">
        <v>110</v>
      </c>
    </row>
    <row r="97" spans="1:14" x14ac:dyDescent="0.3">
      <c r="A97" t="s">
        <v>324</v>
      </c>
      <c r="B97" s="6" t="str">
        <f>HYPERLINK("https://mennonite.britecorepro.com/gateway?file=core.router&amp;method=routeEntity&amp;entity_type=policy&amp;entity_number=04-0 W 05A", "04-0 W 05A")</f>
        <v>04-0 W 05A</v>
      </c>
      <c r="C97" s="6" t="s">
        <v>405</v>
      </c>
      <c r="D97" t="s">
        <v>16</v>
      </c>
      <c r="E97" s="1">
        <v>45584</v>
      </c>
      <c r="F97" s="1">
        <v>45949</v>
      </c>
      <c r="G97">
        <v>521000</v>
      </c>
      <c r="I97">
        <v>2000</v>
      </c>
      <c r="J97">
        <v>500000</v>
      </c>
      <c r="K97" s="2">
        <f t="shared" si="1"/>
        <v>523000</v>
      </c>
      <c r="L97" s="2">
        <v>1327</v>
      </c>
      <c r="M97">
        <v>1287</v>
      </c>
      <c r="N97">
        <v>40</v>
      </c>
    </row>
    <row r="98" spans="1:14" x14ac:dyDescent="0.3">
      <c r="A98" t="s">
        <v>331</v>
      </c>
      <c r="B98" s="6" t="str">
        <f>HYPERLINK("https://mennonite.britecorepro.com/gateway?file=core.router&amp;method=routeEntity&amp;entity_type=policy&amp;entity_number=05-0 P 04A", "05-0 P 04A")</f>
        <v>05-0 P 04A</v>
      </c>
      <c r="C98" s="6" t="s">
        <v>405</v>
      </c>
      <c r="D98" t="s">
        <v>68</v>
      </c>
      <c r="E98" s="1">
        <v>45582</v>
      </c>
      <c r="F98" s="1">
        <v>45947</v>
      </c>
      <c r="G98">
        <v>4494000</v>
      </c>
      <c r="I98">
        <v>452000</v>
      </c>
      <c r="K98" s="2">
        <f t="shared" si="1"/>
        <v>4946000</v>
      </c>
      <c r="L98" s="2">
        <v>7032</v>
      </c>
      <c r="M98">
        <v>7032</v>
      </c>
    </row>
    <row r="99" spans="1:14" x14ac:dyDescent="0.3">
      <c r="A99" t="s">
        <v>366</v>
      </c>
      <c r="B99" s="6" t="str">
        <f>HYPERLINK("https://mennonite.britecorepro.com/gateway?file=core.router&amp;method=routeEntity&amp;entity_type=policy&amp;entity_number=05-0 S 04B", "05-0 S 04B")</f>
        <v>05-0 S 04B</v>
      </c>
      <c r="C99" s="6" t="s">
        <v>405</v>
      </c>
      <c r="D99" t="s">
        <v>12</v>
      </c>
      <c r="E99" s="1">
        <v>45574</v>
      </c>
      <c r="F99" s="1">
        <v>45939</v>
      </c>
      <c r="G99">
        <v>651000</v>
      </c>
      <c r="I99">
        <v>325500</v>
      </c>
      <c r="J99">
        <v>500000</v>
      </c>
      <c r="K99" s="2">
        <f t="shared" si="1"/>
        <v>976500</v>
      </c>
      <c r="L99" s="2">
        <v>2892</v>
      </c>
      <c r="M99">
        <v>2782</v>
      </c>
      <c r="N99">
        <v>110</v>
      </c>
    </row>
    <row r="100" spans="1:14" x14ac:dyDescent="0.3">
      <c r="A100" t="s">
        <v>26</v>
      </c>
      <c r="B100" s="6" t="str">
        <f>HYPERLINK("https://mennonite.britecorepro.com/gateway?file=core.router&amp;method=routeEntity&amp;entity_type=policy&amp;entity_number=05-0 S 04G", "05-0 S 04G")</f>
        <v>05-0 S 04G</v>
      </c>
      <c r="C100" s="6" t="s">
        <v>405</v>
      </c>
      <c r="D100" t="s">
        <v>16</v>
      </c>
      <c r="E100" s="1">
        <v>45655</v>
      </c>
      <c r="F100" s="1">
        <v>46020</v>
      </c>
      <c r="G100">
        <v>993000</v>
      </c>
      <c r="I100">
        <v>4000</v>
      </c>
      <c r="J100">
        <v>500000</v>
      </c>
      <c r="K100" s="2">
        <f t="shared" si="1"/>
        <v>997000</v>
      </c>
      <c r="L100" s="2">
        <v>3302</v>
      </c>
      <c r="M100">
        <v>3142</v>
      </c>
      <c r="N100">
        <v>160</v>
      </c>
    </row>
    <row r="101" spans="1:14" x14ac:dyDescent="0.3">
      <c r="A101" t="s">
        <v>186</v>
      </c>
      <c r="B101" s="6" t="str">
        <f>HYPERLINK("https://mennonite.britecorepro.com/gateway?file=core.router&amp;method=routeEntity&amp;entity_type=policy&amp;entity_number=05-0 W 03", "05-0 W 03")</f>
        <v>05-0 W 03</v>
      </c>
      <c r="C101" s="6" t="s">
        <v>405</v>
      </c>
      <c r="D101" t="s">
        <v>12</v>
      </c>
      <c r="E101" s="1">
        <v>45618</v>
      </c>
      <c r="F101" s="1">
        <v>45983</v>
      </c>
      <c r="G101">
        <v>399000</v>
      </c>
      <c r="I101">
        <v>199500</v>
      </c>
      <c r="J101">
        <v>300000</v>
      </c>
      <c r="K101" s="2">
        <f t="shared" si="1"/>
        <v>598500</v>
      </c>
      <c r="L101" s="2">
        <v>786</v>
      </c>
      <c r="M101">
        <v>706</v>
      </c>
      <c r="N101">
        <v>80</v>
      </c>
    </row>
    <row r="102" spans="1:14" x14ac:dyDescent="0.3">
      <c r="A102" t="s">
        <v>19</v>
      </c>
      <c r="B102" s="6" t="str">
        <f>HYPERLINK("https://mennonite.britecorepro.com/gateway?file=core.router&amp;method=routeEntity&amp;entity_type=policy&amp;entity_number=05-0 W 11", "05-0 W 11")</f>
        <v>05-0 W 11</v>
      </c>
      <c r="C102" s="6" t="s">
        <v>405</v>
      </c>
      <c r="D102" t="s">
        <v>16</v>
      </c>
      <c r="E102" s="1">
        <v>45656</v>
      </c>
      <c r="F102" s="1">
        <v>46021</v>
      </c>
      <c r="G102">
        <v>387000</v>
      </c>
      <c r="I102">
        <v>1000</v>
      </c>
      <c r="J102">
        <v>300000</v>
      </c>
      <c r="K102" s="2">
        <f t="shared" si="1"/>
        <v>388000</v>
      </c>
      <c r="L102" s="2">
        <v>870</v>
      </c>
      <c r="M102">
        <v>840</v>
      </c>
      <c r="N102">
        <v>30</v>
      </c>
    </row>
    <row r="103" spans="1:14" x14ac:dyDescent="0.3">
      <c r="A103" t="s">
        <v>74</v>
      </c>
      <c r="B103" s="6" t="str">
        <f>HYPERLINK("https://mennonite.britecorepro.com/gateway?file=core.router&amp;method=routeEntity&amp;entity_type=policy&amp;entity_number=06-0 D 12", "06-0 D 12")</f>
        <v>06-0 D 12</v>
      </c>
      <c r="C103" s="6" t="s">
        <v>405</v>
      </c>
      <c r="D103" t="s">
        <v>16</v>
      </c>
      <c r="E103" s="1">
        <v>45645</v>
      </c>
      <c r="F103" s="1">
        <v>46010</v>
      </c>
      <c r="G103">
        <v>226000</v>
      </c>
      <c r="I103">
        <v>1000</v>
      </c>
      <c r="K103" s="2">
        <f t="shared" si="1"/>
        <v>227000</v>
      </c>
      <c r="L103" s="2">
        <v>785</v>
      </c>
      <c r="M103">
        <v>785</v>
      </c>
    </row>
    <row r="104" spans="1:14" x14ac:dyDescent="0.3">
      <c r="A104" t="s">
        <v>75</v>
      </c>
      <c r="B104" s="6" t="str">
        <f>HYPERLINK("https://mennonite.britecorepro.com/gateway?file=core.router&amp;method=routeEntity&amp;entity_type=policy&amp;entity_number=06-0 D 12A", "06-0 D 12A")</f>
        <v>06-0 D 12A</v>
      </c>
      <c r="C104" s="6" t="s">
        <v>405</v>
      </c>
      <c r="D104" t="s">
        <v>12</v>
      </c>
      <c r="E104" s="1">
        <v>45645</v>
      </c>
      <c r="F104" s="1">
        <v>46010</v>
      </c>
      <c r="G104">
        <v>834000</v>
      </c>
      <c r="H104">
        <v>191000</v>
      </c>
      <c r="I104">
        <v>417000</v>
      </c>
      <c r="K104" s="2">
        <f t="shared" si="1"/>
        <v>1442000</v>
      </c>
      <c r="L104" s="2">
        <v>2426</v>
      </c>
      <c r="M104">
        <v>2426</v>
      </c>
    </row>
    <row r="105" spans="1:14" x14ac:dyDescent="0.3">
      <c r="A105" t="s">
        <v>29</v>
      </c>
      <c r="B105" s="6" t="str">
        <f>HYPERLINK("https://mennonite.britecorepro.com/gateway?file=core.router&amp;method=routeEntity&amp;entity_type=policy&amp;entity_number=06-0 I 20", "06-0 I 20")</f>
        <v>06-0 I 20</v>
      </c>
      <c r="C105" s="6" t="s">
        <v>405</v>
      </c>
      <c r="D105" t="s">
        <v>12</v>
      </c>
      <c r="E105" s="1">
        <v>45654</v>
      </c>
      <c r="F105" s="1">
        <v>46019</v>
      </c>
      <c r="G105">
        <v>765000</v>
      </c>
      <c r="I105">
        <v>382500</v>
      </c>
      <c r="J105">
        <v>500000</v>
      </c>
      <c r="K105" s="2">
        <f t="shared" si="1"/>
        <v>1147500</v>
      </c>
      <c r="L105" s="2">
        <v>1091</v>
      </c>
      <c r="M105">
        <v>981</v>
      </c>
      <c r="N105">
        <v>110</v>
      </c>
    </row>
    <row r="106" spans="1:14" x14ac:dyDescent="0.3">
      <c r="A106" t="s">
        <v>30</v>
      </c>
      <c r="B106" s="6" t="str">
        <f>HYPERLINK("https://mennonite.britecorepro.com/gateway?file=core.router&amp;method=routeEntity&amp;entity_type=policy&amp;entity_number=06-0 L 11C", "06-0 L 11C")</f>
        <v>06-0 L 11C</v>
      </c>
      <c r="C106" s="6" t="s">
        <v>405</v>
      </c>
      <c r="D106" t="s">
        <v>16</v>
      </c>
      <c r="E106" s="1">
        <v>45654</v>
      </c>
      <c r="F106" s="1">
        <v>46019</v>
      </c>
      <c r="G106">
        <v>420000</v>
      </c>
      <c r="I106">
        <v>1000</v>
      </c>
      <c r="J106">
        <v>500000</v>
      </c>
      <c r="K106" s="2">
        <f t="shared" si="1"/>
        <v>421000</v>
      </c>
      <c r="L106" s="2">
        <v>1509</v>
      </c>
      <c r="M106">
        <v>1469</v>
      </c>
      <c r="N106">
        <v>40</v>
      </c>
    </row>
    <row r="107" spans="1:14" x14ac:dyDescent="0.3">
      <c r="A107" t="s">
        <v>31</v>
      </c>
      <c r="B107" s="6" t="str">
        <f>HYPERLINK("https://mennonite.britecorepro.com/gateway?file=core.router&amp;method=routeEntity&amp;entity_type=policy&amp;entity_number=06-0 P 07A", "06-0 P 07A")</f>
        <v>06-0 P 07A</v>
      </c>
      <c r="C107" s="6" t="s">
        <v>405</v>
      </c>
      <c r="D107" t="s">
        <v>12</v>
      </c>
      <c r="E107" s="1">
        <v>45654</v>
      </c>
      <c r="F107" s="1">
        <v>46019</v>
      </c>
      <c r="G107">
        <v>425000</v>
      </c>
      <c r="I107">
        <v>212500</v>
      </c>
      <c r="J107">
        <v>300000</v>
      </c>
      <c r="K107" s="2">
        <f t="shared" si="1"/>
        <v>637500</v>
      </c>
      <c r="L107" s="2">
        <v>870</v>
      </c>
      <c r="M107">
        <v>790</v>
      </c>
      <c r="N107">
        <v>80</v>
      </c>
    </row>
    <row r="108" spans="1:14" x14ac:dyDescent="0.3">
      <c r="A108" t="s">
        <v>253</v>
      </c>
      <c r="B108" s="6" t="str">
        <f>HYPERLINK("https://mennonite.britecorepro.com/gateway?file=core.router&amp;method=routeEntity&amp;entity_type=policy&amp;entity_number=06-0 P 10A", "06-0 P 10A")</f>
        <v>06-0 P 10A</v>
      </c>
      <c r="C108" s="6" t="s">
        <v>405</v>
      </c>
      <c r="D108" t="s">
        <v>12</v>
      </c>
      <c r="E108" s="1">
        <v>45602</v>
      </c>
      <c r="F108" s="1">
        <v>45967</v>
      </c>
      <c r="G108">
        <v>453000</v>
      </c>
      <c r="I108">
        <v>226500</v>
      </c>
      <c r="J108">
        <v>300000</v>
      </c>
      <c r="K108" s="2">
        <f t="shared" si="1"/>
        <v>679500</v>
      </c>
      <c r="L108" s="2">
        <v>1128</v>
      </c>
      <c r="M108">
        <v>1048</v>
      </c>
      <c r="N108">
        <v>80</v>
      </c>
    </row>
    <row r="109" spans="1:14" x14ac:dyDescent="0.3">
      <c r="A109" t="s">
        <v>218</v>
      </c>
      <c r="B109" s="6" t="str">
        <f>HYPERLINK("https://mennonite.britecorepro.com/gateway?file=core.router&amp;method=routeEntity&amp;entity_type=policy&amp;entity_number=06-0 R 11", "06-0 R 11")</f>
        <v>06-0 R 11</v>
      </c>
      <c r="C109" s="6" t="s">
        <v>405</v>
      </c>
      <c r="D109" t="s">
        <v>12</v>
      </c>
      <c r="E109" s="1">
        <v>45610</v>
      </c>
      <c r="F109" s="1">
        <v>45975</v>
      </c>
      <c r="G109">
        <v>965000</v>
      </c>
      <c r="I109">
        <v>482500</v>
      </c>
      <c r="J109">
        <v>500000</v>
      </c>
      <c r="K109" s="2">
        <f t="shared" si="1"/>
        <v>1447500</v>
      </c>
      <c r="L109" s="2">
        <v>2733</v>
      </c>
      <c r="M109">
        <v>2623</v>
      </c>
      <c r="N109">
        <v>110</v>
      </c>
    </row>
    <row r="110" spans="1:14" x14ac:dyDescent="0.3">
      <c r="A110" t="s">
        <v>161</v>
      </c>
      <c r="B110" s="6" t="str">
        <f>HYPERLINK("https://mennonite.britecorepro.com/gateway?file=core.router&amp;method=routeEntity&amp;entity_type=policy&amp;entity_number=07-0 C 03", "07-0 C 03")</f>
        <v>07-0 C 03</v>
      </c>
      <c r="C110" s="6" t="s">
        <v>405</v>
      </c>
      <c r="D110" t="s">
        <v>68</v>
      </c>
      <c r="E110" s="1">
        <v>45623</v>
      </c>
      <c r="F110" s="1">
        <v>45988</v>
      </c>
      <c r="G110">
        <v>5901000</v>
      </c>
      <c r="H110">
        <v>17000</v>
      </c>
      <c r="I110">
        <v>826000</v>
      </c>
      <c r="K110" s="2">
        <f t="shared" si="1"/>
        <v>6744000</v>
      </c>
      <c r="L110" s="2">
        <v>7871</v>
      </c>
      <c r="M110">
        <v>7871</v>
      </c>
    </row>
    <row r="111" spans="1:14" x14ac:dyDescent="0.3">
      <c r="A111" t="s">
        <v>384</v>
      </c>
      <c r="B111" s="6" t="str">
        <f>HYPERLINK("https://mennonite.britecorepro.com/gateway?file=core.router&amp;method=routeEntity&amp;entity_type=policy&amp;entity_number=07-0 F 15C", "07-0 F 15C")</f>
        <v>07-0 F 15C</v>
      </c>
      <c r="C111" s="6" t="s">
        <v>405</v>
      </c>
      <c r="D111" t="s">
        <v>28</v>
      </c>
      <c r="E111" s="1">
        <v>45568</v>
      </c>
      <c r="F111" s="1">
        <v>45933</v>
      </c>
      <c r="I111">
        <v>35000</v>
      </c>
      <c r="J111">
        <v>300000</v>
      </c>
      <c r="K111" s="2">
        <f t="shared" si="1"/>
        <v>35000</v>
      </c>
      <c r="L111" s="2">
        <v>146</v>
      </c>
      <c r="M111">
        <v>66</v>
      </c>
      <c r="N111">
        <v>80</v>
      </c>
    </row>
    <row r="112" spans="1:14" x14ac:dyDescent="0.3">
      <c r="A112" t="s">
        <v>303</v>
      </c>
      <c r="B112" s="6" t="str">
        <f>HYPERLINK("https://mennonite.britecorepro.com/gateway?file=core.router&amp;method=routeEntity&amp;entity_type=policy&amp;entity_number=07-0 N 05B", "07-0 N 05B")</f>
        <v>07-0 N 05B</v>
      </c>
      <c r="C112" s="6" t="s">
        <v>405</v>
      </c>
      <c r="D112" t="s">
        <v>12</v>
      </c>
      <c r="E112" s="1">
        <v>45590</v>
      </c>
      <c r="F112" s="1">
        <v>45955</v>
      </c>
      <c r="G112">
        <v>543000</v>
      </c>
      <c r="I112">
        <v>271500</v>
      </c>
      <c r="J112">
        <v>500000</v>
      </c>
      <c r="K112" s="2">
        <f t="shared" si="1"/>
        <v>814500</v>
      </c>
      <c r="L112" s="2">
        <v>813</v>
      </c>
      <c r="M112">
        <v>703</v>
      </c>
      <c r="N112">
        <v>110</v>
      </c>
    </row>
    <row r="113" spans="1:14" x14ac:dyDescent="0.3">
      <c r="A113" t="s">
        <v>361</v>
      </c>
      <c r="B113" s="6" t="str">
        <f>HYPERLINK("https://mennonite.britecorepro.com/gateway?file=core.router&amp;method=routeEntity&amp;entity_type=policy&amp;entity_number=07-0 P 01B", "07-0 P 01B")</f>
        <v>07-0 P 01B</v>
      </c>
      <c r="C113" s="6" t="s">
        <v>405</v>
      </c>
      <c r="D113" t="s">
        <v>12</v>
      </c>
      <c r="E113" s="1">
        <v>45575</v>
      </c>
      <c r="F113" s="1">
        <v>45940</v>
      </c>
      <c r="G113">
        <v>1952000</v>
      </c>
      <c r="I113">
        <v>976000</v>
      </c>
      <c r="J113">
        <v>300000</v>
      </c>
      <c r="K113" s="2">
        <f t="shared" si="1"/>
        <v>2928000</v>
      </c>
      <c r="L113" s="2">
        <v>2506</v>
      </c>
      <c r="M113">
        <v>2426</v>
      </c>
      <c r="N113">
        <v>80</v>
      </c>
    </row>
    <row r="114" spans="1:14" x14ac:dyDescent="0.3">
      <c r="A114" t="s">
        <v>93</v>
      </c>
      <c r="B114" s="6" t="str">
        <f>HYPERLINK("https://mennonite.britecorepro.com/gateway?file=core.router&amp;method=routeEntity&amp;entity_type=policy&amp;entity_number=07-0 S 09C", "07-0 S 09C")</f>
        <v>07-0 S 09C</v>
      </c>
      <c r="C114" s="6" t="s">
        <v>405</v>
      </c>
      <c r="D114" t="s">
        <v>12</v>
      </c>
      <c r="E114" s="1">
        <v>45640</v>
      </c>
      <c r="F114" s="1">
        <v>46005</v>
      </c>
      <c r="G114">
        <v>887000</v>
      </c>
      <c r="I114">
        <v>443500</v>
      </c>
      <c r="K114" s="2">
        <f t="shared" si="1"/>
        <v>1330500</v>
      </c>
      <c r="L114" s="2">
        <v>1507</v>
      </c>
      <c r="M114">
        <v>1507</v>
      </c>
    </row>
    <row r="115" spans="1:14" x14ac:dyDescent="0.3">
      <c r="A115" t="s">
        <v>387</v>
      </c>
      <c r="B115" s="6" t="str">
        <f>HYPERLINK("https://mennonite.britecorepro.com/gateway?file=core.router&amp;method=routeEntity&amp;entity_type=policy&amp;entity_number=07-0 T 03F", "07-0 T 03F")</f>
        <v>07-0 T 03F</v>
      </c>
      <c r="C115" s="6" t="s">
        <v>405</v>
      </c>
      <c r="D115" t="s">
        <v>12</v>
      </c>
      <c r="E115" s="1">
        <v>45567</v>
      </c>
      <c r="F115" s="1">
        <v>45932</v>
      </c>
      <c r="G115">
        <v>684000</v>
      </c>
      <c r="I115">
        <v>342000</v>
      </c>
      <c r="J115">
        <v>300000</v>
      </c>
      <c r="K115" s="2">
        <f t="shared" si="1"/>
        <v>1026000</v>
      </c>
      <c r="L115" s="2">
        <v>901</v>
      </c>
      <c r="M115">
        <v>821</v>
      </c>
      <c r="N115">
        <v>80</v>
      </c>
    </row>
    <row r="116" spans="1:14" x14ac:dyDescent="0.3">
      <c r="A116" t="s">
        <v>256</v>
      </c>
      <c r="B116" s="6" t="str">
        <f>HYPERLINK("https://mennonite.britecorepro.com/gateway?file=core.router&amp;method=routeEntity&amp;entity_type=policy&amp;entity_number=08-1 D 12C", "08-1 D 12C")</f>
        <v>08-1 D 12C</v>
      </c>
      <c r="C116" s="6" t="s">
        <v>405</v>
      </c>
      <c r="D116" t="s">
        <v>12</v>
      </c>
      <c r="E116" s="1">
        <v>45600</v>
      </c>
      <c r="F116" s="1">
        <v>45965</v>
      </c>
      <c r="G116">
        <v>791000</v>
      </c>
      <c r="I116">
        <v>395500</v>
      </c>
      <c r="J116">
        <v>500000</v>
      </c>
      <c r="K116" s="2">
        <f t="shared" si="1"/>
        <v>1186500</v>
      </c>
      <c r="L116" s="2">
        <v>1209</v>
      </c>
      <c r="M116">
        <v>1099</v>
      </c>
      <c r="N116">
        <v>110</v>
      </c>
    </row>
    <row r="117" spans="1:14" x14ac:dyDescent="0.3">
      <c r="A117" t="s">
        <v>257</v>
      </c>
      <c r="B117" s="6" t="str">
        <f>HYPERLINK("https://mennonite.britecorepro.com/gateway?file=core.router&amp;method=routeEntity&amp;entity_type=policy&amp;entity_number=08-1 D 12D", "08-1 D 12D")</f>
        <v>08-1 D 12D</v>
      </c>
      <c r="C117" s="6" t="s">
        <v>405</v>
      </c>
      <c r="D117" t="s">
        <v>16</v>
      </c>
      <c r="E117" s="1">
        <v>45600</v>
      </c>
      <c r="F117" s="1">
        <v>45965</v>
      </c>
      <c r="G117">
        <v>522000</v>
      </c>
      <c r="I117">
        <v>1000</v>
      </c>
      <c r="J117">
        <v>500000</v>
      </c>
      <c r="K117" s="2">
        <f t="shared" si="1"/>
        <v>523000</v>
      </c>
      <c r="L117" s="2">
        <v>1100</v>
      </c>
      <c r="M117">
        <v>1060</v>
      </c>
      <c r="N117">
        <v>40</v>
      </c>
    </row>
    <row r="118" spans="1:14" x14ac:dyDescent="0.3">
      <c r="A118" t="s">
        <v>114</v>
      </c>
      <c r="B118" s="6" t="str">
        <f>HYPERLINK("https://mennonite.britecorepro.com/gateway?file=core.router&amp;method=routeEntity&amp;entity_type=policy&amp;entity_number=08-1 E 07A", "08-1 E 07A")</f>
        <v>08-1 E 07A</v>
      </c>
      <c r="C118" s="6" t="s">
        <v>405</v>
      </c>
      <c r="D118" t="s">
        <v>12</v>
      </c>
      <c r="E118" s="1">
        <v>45635</v>
      </c>
      <c r="F118" s="1">
        <v>46000</v>
      </c>
      <c r="G118">
        <v>559000</v>
      </c>
      <c r="I118">
        <v>279500</v>
      </c>
      <c r="J118">
        <v>500000</v>
      </c>
      <c r="K118" s="2">
        <f t="shared" si="1"/>
        <v>838500</v>
      </c>
      <c r="L118" s="2">
        <v>1046</v>
      </c>
      <c r="M118">
        <v>936</v>
      </c>
      <c r="N118">
        <v>110</v>
      </c>
    </row>
    <row r="119" spans="1:14" x14ac:dyDescent="0.3">
      <c r="A119" t="s">
        <v>278</v>
      </c>
      <c r="B119" s="6" t="str">
        <f>HYPERLINK("https://mennonite.britecorepro.com/gateway?file=core.router&amp;method=routeEntity&amp;entity_type=policy&amp;entity_number=08-1 K 12", "08-1 K 12")</f>
        <v>08-1 K 12</v>
      </c>
      <c r="C119" s="6" t="s">
        <v>405</v>
      </c>
      <c r="D119" t="s">
        <v>12</v>
      </c>
      <c r="E119" s="1">
        <v>45595</v>
      </c>
      <c r="F119" s="1">
        <v>45960</v>
      </c>
      <c r="G119">
        <v>424000</v>
      </c>
      <c r="I119">
        <v>212000</v>
      </c>
      <c r="J119">
        <v>300000</v>
      </c>
      <c r="K119" s="2">
        <f t="shared" si="1"/>
        <v>636000</v>
      </c>
      <c r="L119" s="2">
        <v>513</v>
      </c>
      <c r="M119">
        <v>433</v>
      </c>
      <c r="N119">
        <v>80</v>
      </c>
    </row>
    <row r="120" spans="1:14" x14ac:dyDescent="0.3">
      <c r="A120" t="s">
        <v>344</v>
      </c>
      <c r="B120" s="6" t="str">
        <f>HYPERLINK("https://mennonite.britecorepro.com/gateway?file=core.router&amp;method=routeEntity&amp;entity_type=policy&amp;entity_number=08-1 M 14", "08-1 M 14")</f>
        <v>08-1 M 14</v>
      </c>
      <c r="C120" s="6" t="s">
        <v>405</v>
      </c>
      <c r="D120" t="s">
        <v>12</v>
      </c>
      <c r="E120" s="1">
        <v>45580</v>
      </c>
      <c r="F120" s="1">
        <v>45945</v>
      </c>
      <c r="G120">
        <v>233000</v>
      </c>
      <c r="H120">
        <v>16000</v>
      </c>
      <c r="I120">
        <v>116500</v>
      </c>
      <c r="J120">
        <v>300000</v>
      </c>
      <c r="K120" s="2">
        <f t="shared" si="1"/>
        <v>365500</v>
      </c>
      <c r="L120" s="2">
        <v>639</v>
      </c>
      <c r="M120">
        <v>559</v>
      </c>
      <c r="N120">
        <v>80</v>
      </c>
    </row>
    <row r="121" spans="1:14" x14ac:dyDescent="0.3">
      <c r="A121" t="s">
        <v>337</v>
      </c>
      <c r="B121" s="6" t="str">
        <f>HYPERLINK("https://mennonite.britecorepro.com/gateway?file=core.router&amp;method=routeEntity&amp;entity_type=policy&amp;entity_number=08-1 P 09", "08-1 P 09")</f>
        <v>08-1 P 09</v>
      </c>
      <c r="C121" s="6" t="s">
        <v>405</v>
      </c>
      <c r="D121" t="s">
        <v>12</v>
      </c>
      <c r="E121" s="1">
        <v>45581</v>
      </c>
      <c r="F121" s="1">
        <v>45946</v>
      </c>
      <c r="G121">
        <v>645000</v>
      </c>
      <c r="I121">
        <v>322500</v>
      </c>
      <c r="J121">
        <v>300000</v>
      </c>
      <c r="K121" s="2">
        <f t="shared" si="1"/>
        <v>967500</v>
      </c>
      <c r="L121" s="2">
        <v>3072</v>
      </c>
      <c r="M121">
        <v>2992</v>
      </c>
      <c r="N121">
        <v>80</v>
      </c>
    </row>
    <row r="122" spans="1:14" x14ac:dyDescent="0.3">
      <c r="A122" t="s">
        <v>290</v>
      </c>
      <c r="B122" s="6" t="str">
        <f>HYPERLINK("https://mennonite.britecorepro.com/gateway?file=core.router&amp;method=routeEntity&amp;entity_type=policy&amp;entity_number=08-1 T 03", "08-1 T 03")</f>
        <v>08-1 T 03</v>
      </c>
      <c r="C122" s="6" t="s">
        <v>405</v>
      </c>
      <c r="D122" t="s">
        <v>12</v>
      </c>
      <c r="E122" s="1">
        <v>45593</v>
      </c>
      <c r="F122" s="1">
        <v>45958</v>
      </c>
      <c r="G122">
        <v>503000</v>
      </c>
      <c r="I122">
        <v>251500</v>
      </c>
      <c r="J122">
        <v>300000</v>
      </c>
      <c r="K122" s="2">
        <f t="shared" si="1"/>
        <v>754500</v>
      </c>
      <c r="L122" s="2">
        <v>1389</v>
      </c>
      <c r="M122">
        <v>1309</v>
      </c>
      <c r="N122">
        <v>80</v>
      </c>
    </row>
    <row r="123" spans="1:14" x14ac:dyDescent="0.3">
      <c r="A123" t="s">
        <v>50</v>
      </c>
      <c r="B123" s="6" t="str">
        <f>HYPERLINK("https://mennonite.britecorepro.com/gateway?file=core.router&amp;method=routeEntity&amp;entity_type=policy&amp;entity_number=08-1 W 03A", "08-1 W 03A")</f>
        <v>08-1 W 03A</v>
      </c>
      <c r="C123" s="6" t="s">
        <v>405</v>
      </c>
      <c r="D123" t="s">
        <v>12</v>
      </c>
      <c r="E123" s="1">
        <v>45648</v>
      </c>
      <c r="F123" s="1">
        <v>46013</v>
      </c>
      <c r="G123">
        <v>1281000</v>
      </c>
      <c r="I123">
        <v>640500</v>
      </c>
      <c r="J123">
        <v>300000</v>
      </c>
      <c r="K123" s="2">
        <f t="shared" si="1"/>
        <v>1921500</v>
      </c>
      <c r="L123" s="2">
        <v>3420</v>
      </c>
      <c r="M123">
        <v>3340</v>
      </c>
      <c r="N123">
        <v>80</v>
      </c>
    </row>
    <row r="124" spans="1:14" x14ac:dyDescent="0.3">
      <c r="A124" t="s">
        <v>345</v>
      </c>
      <c r="B124" s="6" t="str">
        <f>HYPERLINK("https://mennonite.britecorepro.com/gateway?file=core.router&amp;method=routeEntity&amp;entity_type=policy&amp;entity_number=08-1 W 08", "08-1 W 08")</f>
        <v>08-1 W 08</v>
      </c>
      <c r="C124" s="6" t="s">
        <v>405</v>
      </c>
      <c r="D124" t="s">
        <v>12</v>
      </c>
      <c r="E124" s="1">
        <v>45579</v>
      </c>
      <c r="F124" s="1">
        <v>45944</v>
      </c>
      <c r="G124">
        <v>694000</v>
      </c>
      <c r="I124">
        <v>347000</v>
      </c>
      <c r="J124">
        <v>300000</v>
      </c>
      <c r="K124" s="2">
        <f t="shared" si="1"/>
        <v>1041000</v>
      </c>
      <c r="L124" s="2">
        <v>1192</v>
      </c>
      <c r="M124">
        <v>1112</v>
      </c>
      <c r="N124">
        <v>80</v>
      </c>
    </row>
    <row r="125" spans="1:14" x14ac:dyDescent="0.3">
      <c r="A125" t="s">
        <v>136</v>
      </c>
      <c r="B125" s="6" t="str">
        <f>HYPERLINK("https://mennonite.britecorepro.com/gateway?file=core.router&amp;method=routeEntity&amp;entity_type=policy&amp;entity_number=08-1 W 08A", "08-1 W 08A")</f>
        <v>08-1 W 08A</v>
      </c>
      <c r="C125" s="6" t="s">
        <v>405</v>
      </c>
      <c r="D125" t="s">
        <v>16</v>
      </c>
      <c r="E125" s="1">
        <v>45629</v>
      </c>
      <c r="F125" s="1">
        <v>45994</v>
      </c>
      <c r="G125">
        <v>238000</v>
      </c>
      <c r="H125">
        <v>18000</v>
      </c>
      <c r="I125">
        <v>1000</v>
      </c>
      <c r="J125">
        <v>300000</v>
      </c>
      <c r="K125" s="2">
        <f t="shared" si="1"/>
        <v>257000</v>
      </c>
      <c r="L125" s="2">
        <v>841</v>
      </c>
      <c r="M125">
        <v>811</v>
      </c>
      <c r="N125">
        <v>30</v>
      </c>
    </row>
    <row r="126" spans="1:14" x14ac:dyDescent="0.3">
      <c r="A126" t="s">
        <v>304</v>
      </c>
      <c r="B126" s="6" t="str">
        <f>HYPERLINK("https://mennonite.britecorepro.com/gateway?file=core.router&amp;method=routeEntity&amp;entity_type=policy&amp;entity_number=08-1 Z 01", "08-1 Z 01")</f>
        <v>08-1 Z 01</v>
      </c>
      <c r="C126" s="6" t="s">
        <v>405</v>
      </c>
      <c r="D126" t="s">
        <v>12</v>
      </c>
      <c r="E126" s="1">
        <v>45590</v>
      </c>
      <c r="F126" s="1">
        <v>45955</v>
      </c>
      <c r="G126">
        <v>452000</v>
      </c>
      <c r="I126">
        <v>226000</v>
      </c>
      <c r="J126">
        <v>300000</v>
      </c>
      <c r="K126" s="2">
        <f t="shared" si="1"/>
        <v>678000</v>
      </c>
      <c r="L126" s="2">
        <v>894</v>
      </c>
      <c r="M126">
        <v>814</v>
      </c>
      <c r="N126">
        <v>80</v>
      </c>
    </row>
    <row r="127" spans="1:14" x14ac:dyDescent="0.3">
      <c r="A127" t="s">
        <v>272</v>
      </c>
      <c r="B127" s="6" t="str">
        <f>HYPERLINK("https://mennonite.britecorepro.com/gateway?file=core.router&amp;method=routeEntity&amp;entity_type=policy&amp;entity_number=08-2 B 15D", "08-2 B 15D")</f>
        <v>08-2 B 15D</v>
      </c>
      <c r="C127" s="6" t="s">
        <v>405</v>
      </c>
      <c r="D127" t="s">
        <v>12</v>
      </c>
      <c r="E127" s="1">
        <v>45596</v>
      </c>
      <c r="F127" s="1">
        <v>45961</v>
      </c>
      <c r="G127">
        <v>503000</v>
      </c>
      <c r="I127">
        <v>251500</v>
      </c>
      <c r="J127">
        <v>500000</v>
      </c>
      <c r="K127" s="2">
        <f t="shared" si="1"/>
        <v>754500</v>
      </c>
      <c r="L127" s="2">
        <v>599</v>
      </c>
      <c r="M127">
        <v>489</v>
      </c>
      <c r="N127">
        <v>110</v>
      </c>
    </row>
    <row r="128" spans="1:14" x14ac:dyDescent="0.3">
      <c r="A128" t="s">
        <v>391</v>
      </c>
      <c r="B128" s="6" t="str">
        <f>HYPERLINK("https://mennonite.britecorepro.com/gateway?file=core.router&amp;method=routeEntity&amp;entity_type=policy&amp;entity_number=08-2 B 23", "08-2 B 23")</f>
        <v>08-2 B 23</v>
      </c>
      <c r="C128" s="6" t="s">
        <v>405</v>
      </c>
      <c r="D128" t="s">
        <v>12</v>
      </c>
      <c r="E128" s="1">
        <v>45566</v>
      </c>
      <c r="F128" s="1">
        <v>45931</v>
      </c>
      <c r="G128">
        <v>670000</v>
      </c>
      <c r="I128">
        <v>335000</v>
      </c>
      <c r="J128">
        <v>500000</v>
      </c>
      <c r="K128" s="2">
        <f t="shared" si="1"/>
        <v>1005000</v>
      </c>
      <c r="L128" s="2">
        <v>1368</v>
      </c>
      <c r="M128">
        <v>1258</v>
      </c>
      <c r="N128">
        <v>110</v>
      </c>
    </row>
    <row r="129" spans="1:14" x14ac:dyDescent="0.3">
      <c r="A129" t="s">
        <v>388</v>
      </c>
      <c r="B129" s="6" t="str">
        <f>HYPERLINK("https://mennonite.britecorepro.com/gateway?file=core.router&amp;method=routeEntity&amp;entity_type=policy&amp;entity_number=08-2 C 04C", "08-2 C 04C")</f>
        <v>08-2 C 04C</v>
      </c>
      <c r="C129" s="6" t="s">
        <v>405</v>
      </c>
      <c r="D129" t="s">
        <v>12</v>
      </c>
      <c r="E129" s="1">
        <v>45567</v>
      </c>
      <c r="F129" s="1">
        <v>45932</v>
      </c>
      <c r="G129">
        <v>247000</v>
      </c>
      <c r="I129">
        <v>189500</v>
      </c>
      <c r="J129">
        <v>500000</v>
      </c>
      <c r="K129" s="2">
        <f t="shared" si="1"/>
        <v>436500</v>
      </c>
      <c r="L129" s="2">
        <v>541</v>
      </c>
      <c r="M129">
        <v>431</v>
      </c>
      <c r="N129">
        <v>110</v>
      </c>
    </row>
    <row r="130" spans="1:14" x14ac:dyDescent="0.3">
      <c r="A130" t="s">
        <v>298</v>
      </c>
      <c r="B130" s="6" t="str">
        <f>HYPERLINK("https://mennonite.britecorepro.com/gateway?file=core.router&amp;method=routeEntity&amp;entity_type=policy&amp;entity_number=08-2 C 08C", "08-2 C 08C")</f>
        <v>08-2 C 08C</v>
      </c>
      <c r="C130" s="6" t="s">
        <v>405</v>
      </c>
      <c r="D130" t="s">
        <v>12</v>
      </c>
      <c r="E130" s="1">
        <v>45591</v>
      </c>
      <c r="F130" s="1">
        <v>45956</v>
      </c>
      <c r="G130">
        <v>382000</v>
      </c>
      <c r="I130">
        <v>191000</v>
      </c>
      <c r="J130">
        <v>300000</v>
      </c>
      <c r="K130" s="2">
        <f t="shared" ref="K130:K193" si="2">G130+H130+I130</f>
        <v>573000</v>
      </c>
      <c r="L130" s="2">
        <v>896</v>
      </c>
      <c r="M130">
        <v>816</v>
      </c>
      <c r="N130">
        <v>80</v>
      </c>
    </row>
    <row r="131" spans="1:14" x14ac:dyDescent="0.3">
      <c r="A131" t="s">
        <v>215</v>
      </c>
      <c r="B131" s="6" t="str">
        <f>HYPERLINK("https://mennonite.britecorepro.com/gateway?file=core.router&amp;method=routeEntity&amp;entity_type=policy&amp;entity_number=08-2 C 20A", "08-2 C 20A")</f>
        <v>08-2 C 20A</v>
      </c>
      <c r="C131" s="6" t="s">
        <v>405</v>
      </c>
      <c r="D131" t="s">
        <v>66</v>
      </c>
      <c r="E131" s="1">
        <v>45611</v>
      </c>
      <c r="F131" s="1">
        <v>45976</v>
      </c>
      <c r="G131">
        <v>378000</v>
      </c>
      <c r="I131">
        <v>113400</v>
      </c>
      <c r="J131">
        <v>500000</v>
      </c>
      <c r="K131" s="2">
        <f t="shared" si="2"/>
        <v>491400</v>
      </c>
      <c r="L131" s="2">
        <v>1243</v>
      </c>
      <c r="M131">
        <v>1213</v>
      </c>
      <c r="N131">
        <v>30</v>
      </c>
    </row>
    <row r="132" spans="1:14" x14ac:dyDescent="0.3">
      <c r="A132" t="s">
        <v>183</v>
      </c>
      <c r="B132" s="6" t="str">
        <f>HYPERLINK("https://mennonite.britecorepro.com/gateway?file=core.router&amp;method=routeEntity&amp;entity_type=policy&amp;entity_number=08-2 F 09", "08-2 F 09")</f>
        <v>08-2 F 09</v>
      </c>
      <c r="C132" s="6" t="s">
        <v>405</v>
      </c>
      <c r="D132" t="s">
        <v>12</v>
      </c>
      <c r="E132" s="1">
        <v>45619</v>
      </c>
      <c r="F132" s="1">
        <v>45984</v>
      </c>
      <c r="G132">
        <v>526000</v>
      </c>
      <c r="I132">
        <v>263000</v>
      </c>
      <c r="J132">
        <v>300000</v>
      </c>
      <c r="K132" s="2">
        <f t="shared" si="2"/>
        <v>789000</v>
      </c>
      <c r="L132" s="2">
        <v>959</v>
      </c>
      <c r="M132">
        <v>879</v>
      </c>
      <c r="N132">
        <v>80</v>
      </c>
    </row>
    <row r="133" spans="1:14" x14ac:dyDescent="0.3">
      <c r="A133" t="s">
        <v>223</v>
      </c>
      <c r="B133" s="6" t="str">
        <f>HYPERLINK("https://mennonite.britecorepro.com/gateway?file=core.router&amp;method=routeEntity&amp;entity_type=policy&amp;entity_number=08-2 H 05B", "08-2 H 05B")</f>
        <v>08-2 H 05B</v>
      </c>
      <c r="C133" s="6" t="s">
        <v>405</v>
      </c>
      <c r="D133" t="s">
        <v>12</v>
      </c>
      <c r="E133" s="1">
        <v>45609</v>
      </c>
      <c r="F133" s="1">
        <v>45974</v>
      </c>
      <c r="G133">
        <v>579000</v>
      </c>
      <c r="I133">
        <v>289500</v>
      </c>
      <c r="J133">
        <v>500000</v>
      </c>
      <c r="K133" s="2">
        <f t="shared" si="2"/>
        <v>868500</v>
      </c>
      <c r="L133" s="2">
        <v>1075</v>
      </c>
      <c r="M133">
        <v>965</v>
      </c>
      <c r="N133">
        <v>110</v>
      </c>
    </row>
    <row r="134" spans="1:14" x14ac:dyDescent="0.3">
      <c r="A134" t="s">
        <v>174</v>
      </c>
      <c r="B134" s="6" t="str">
        <f>HYPERLINK("https://mennonite.britecorepro.com/gateway?file=core.router&amp;method=routeEntity&amp;entity_type=policy&amp;entity_number=08-2 H 05C", "08-2 H 05C")</f>
        <v>08-2 H 05C</v>
      </c>
      <c r="C134" s="6" t="s">
        <v>405</v>
      </c>
      <c r="D134" t="s">
        <v>66</v>
      </c>
      <c r="E134" s="1">
        <v>45620</v>
      </c>
      <c r="F134" s="1">
        <v>45985</v>
      </c>
      <c r="G134">
        <v>727000</v>
      </c>
      <c r="I134">
        <v>218100</v>
      </c>
      <c r="J134">
        <v>500000</v>
      </c>
      <c r="K134" s="2">
        <f t="shared" si="2"/>
        <v>945100</v>
      </c>
      <c r="L134" s="2">
        <v>3104</v>
      </c>
      <c r="M134">
        <v>3074</v>
      </c>
      <c r="N134">
        <v>30</v>
      </c>
    </row>
    <row r="135" spans="1:14" x14ac:dyDescent="0.3">
      <c r="A135" t="s">
        <v>20</v>
      </c>
      <c r="B135" s="6" t="str">
        <f>HYPERLINK("https://mennonite.britecorepro.com/gateway?file=core.router&amp;method=routeEntity&amp;entity_type=policy&amp;entity_number=08-2 H 09A", "08-2 H 09A")</f>
        <v>08-2 H 09A</v>
      </c>
      <c r="C135" s="6" t="s">
        <v>405</v>
      </c>
      <c r="D135" t="s">
        <v>12</v>
      </c>
      <c r="E135" s="1">
        <v>45656</v>
      </c>
      <c r="F135" s="1">
        <v>46021</v>
      </c>
      <c r="G135">
        <v>466000</v>
      </c>
      <c r="I135">
        <v>233000</v>
      </c>
      <c r="J135">
        <v>300000</v>
      </c>
      <c r="K135" s="2">
        <f t="shared" si="2"/>
        <v>699000</v>
      </c>
      <c r="L135" s="2">
        <v>859</v>
      </c>
      <c r="M135">
        <v>779</v>
      </c>
      <c r="N135">
        <v>80</v>
      </c>
    </row>
    <row r="136" spans="1:14" x14ac:dyDescent="0.3">
      <c r="A136" t="s">
        <v>127</v>
      </c>
      <c r="B136" s="6" t="str">
        <f>HYPERLINK("https://mennonite.britecorepro.com/gateway?file=core.router&amp;method=routeEntity&amp;entity_type=policy&amp;entity_number=08-2 H 12", "08-2 H 12")</f>
        <v>08-2 H 12</v>
      </c>
      <c r="C136" s="6" t="s">
        <v>405</v>
      </c>
      <c r="D136" t="s">
        <v>12</v>
      </c>
      <c r="E136" s="1">
        <v>45631</v>
      </c>
      <c r="F136" s="1">
        <v>45996</v>
      </c>
      <c r="G136">
        <v>596000</v>
      </c>
      <c r="I136">
        <v>298000</v>
      </c>
      <c r="J136">
        <v>500000</v>
      </c>
      <c r="K136" s="2">
        <f t="shared" si="2"/>
        <v>894000</v>
      </c>
      <c r="L136" s="2">
        <v>1103</v>
      </c>
      <c r="M136">
        <v>993</v>
      </c>
      <c r="N136">
        <v>110</v>
      </c>
    </row>
    <row r="137" spans="1:14" x14ac:dyDescent="0.3">
      <c r="A137" t="s">
        <v>123</v>
      </c>
      <c r="B137" s="6" t="str">
        <f>HYPERLINK("https://mennonite.britecorepro.com/gateway?file=core.router&amp;method=routeEntity&amp;entity_type=policy&amp;entity_number=08-2 H 20A", "08-2 H 20A")</f>
        <v>08-2 H 20A</v>
      </c>
      <c r="C137" s="6" t="s">
        <v>405</v>
      </c>
      <c r="D137" t="s">
        <v>16</v>
      </c>
      <c r="E137" s="1">
        <v>45632</v>
      </c>
      <c r="F137" s="1">
        <v>45997</v>
      </c>
      <c r="G137">
        <v>753000</v>
      </c>
      <c r="I137">
        <v>3000</v>
      </c>
      <c r="J137">
        <v>500000</v>
      </c>
      <c r="K137" s="2">
        <f t="shared" si="2"/>
        <v>756000</v>
      </c>
      <c r="L137" s="2">
        <v>2392</v>
      </c>
      <c r="M137">
        <v>2272</v>
      </c>
      <c r="N137">
        <v>120</v>
      </c>
    </row>
    <row r="138" spans="1:14" x14ac:dyDescent="0.3">
      <c r="A138" t="s">
        <v>279</v>
      </c>
      <c r="B138" s="6" t="str">
        <f>HYPERLINK("https://mennonite.britecorepro.com/gateway?file=core.router&amp;method=routeEntity&amp;entity_type=policy&amp;entity_number=08-2 J 10D", "08-2 J 10D")</f>
        <v>08-2 J 10D</v>
      </c>
      <c r="C138" s="6" t="s">
        <v>405</v>
      </c>
      <c r="D138" t="s">
        <v>16</v>
      </c>
      <c r="E138" s="1">
        <v>45595</v>
      </c>
      <c r="F138" s="1">
        <v>45960</v>
      </c>
      <c r="G138">
        <v>465000</v>
      </c>
      <c r="I138">
        <v>1000</v>
      </c>
      <c r="J138">
        <v>500000</v>
      </c>
      <c r="K138" s="2">
        <f t="shared" si="2"/>
        <v>466000</v>
      </c>
      <c r="L138" s="2">
        <v>987</v>
      </c>
      <c r="M138">
        <v>947</v>
      </c>
      <c r="N138">
        <v>40</v>
      </c>
    </row>
    <row r="139" spans="1:14" x14ac:dyDescent="0.3">
      <c r="A139" t="s">
        <v>32</v>
      </c>
      <c r="B139" s="6" t="str">
        <f>HYPERLINK("https://mennonite.britecorepro.com/gateway?file=core.router&amp;method=routeEntity&amp;entity_type=policy&amp;entity_number=08-2 K 08B", "08-2 K 08B")</f>
        <v>08-2 K 08B</v>
      </c>
      <c r="C139" s="6" t="s">
        <v>405</v>
      </c>
      <c r="D139" t="s">
        <v>12</v>
      </c>
      <c r="E139" s="1">
        <v>45654</v>
      </c>
      <c r="F139" s="1">
        <v>46019</v>
      </c>
      <c r="G139">
        <v>454000</v>
      </c>
      <c r="I139">
        <v>227000</v>
      </c>
      <c r="J139">
        <v>500000</v>
      </c>
      <c r="K139" s="2">
        <f t="shared" si="2"/>
        <v>681000</v>
      </c>
      <c r="L139" s="2">
        <v>510</v>
      </c>
      <c r="M139">
        <v>400</v>
      </c>
      <c r="N139">
        <v>110</v>
      </c>
    </row>
    <row r="140" spans="1:14" x14ac:dyDescent="0.3">
      <c r="A140" t="s">
        <v>227</v>
      </c>
      <c r="B140" s="6" t="str">
        <f>HYPERLINK("https://mennonite.britecorepro.com/gateway?file=core.router&amp;method=routeEntity&amp;entity_type=policy&amp;entity_number=08-2 L 10", "08-2 L 10")</f>
        <v>08-2 L 10</v>
      </c>
      <c r="C140" s="6" t="s">
        <v>405</v>
      </c>
      <c r="D140" t="s">
        <v>12</v>
      </c>
      <c r="E140" s="1">
        <v>45608</v>
      </c>
      <c r="F140" s="1">
        <v>45973</v>
      </c>
      <c r="G140">
        <v>1101000</v>
      </c>
      <c r="I140">
        <v>550500</v>
      </c>
      <c r="J140">
        <v>500000</v>
      </c>
      <c r="K140" s="2">
        <f t="shared" si="2"/>
        <v>1651500</v>
      </c>
      <c r="L140" s="2">
        <v>1822</v>
      </c>
      <c r="M140">
        <v>1712</v>
      </c>
      <c r="N140">
        <v>110</v>
      </c>
    </row>
    <row r="141" spans="1:14" x14ac:dyDescent="0.3">
      <c r="A141" t="s">
        <v>184</v>
      </c>
      <c r="B141" s="6" t="str">
        <f>HYPERLINK("https://mennonite.britecorepro.com/gateway?file=core.router&amp;method=routeEntity&amp;entity_type=policy&amp;entity_number=08-2 M 02A", "08-2 M 02A")</f>
        <v>08-2 M 02A</v>
      </c>
      <c r="C141" s="6" t="s">
        <v>405</v>
      </c>
      <c r="D141" t="s">
        <v>12</v>
      </c>
      <c r="E141" s="1">
        <v>45619</v>
      </c>
      <c r="F141" s="1">
        <v>45984</v>
      </c>
      <c r="G141">
        <v>507000</v>
      </c>
      <c r="I141">
        <v>253500</v>
      </c>
      <c r="J141">
        <v>300000</v>
      </c>
      <c r="K141" s="2">
        <f t="shared" si="2"/>
        <v>760500</v>
      </c>
      <c r="L141" s="2">
        <v>893</v>
      </c>
      <c r="M141">
        <v>813</v>
      </c>
      <c r="N141">
        <v>80</v>
      </c>
    </row>
    <row r="142" spans="1:14" x14ac:dyDescent="0.3">
      <c r="A142" t="s">
        <v>308</v>
      </c>
      <c r="B142" s="6" t="str">
        <f>HYPERLINK("https://mennonite.britecorepro.com/gateway?file=core.router&amp;method=routeEntity&amp;entity_type=policy&amp;entity_number=08-2 M 12", "08-2 M 12")</f>
        <v>08-2 M 12</v>
      </c>
      <c r="C142" s="6" t="s">
        <v>405</v>
      </c>
      <c r="D142" t="s">
        <v>12</v>
      </c>
      <c r="E142" s="1">
        <v>45589</v>
      </c>
      <c r="F142" s="1">
        <v>45954</v>
      </c>
      <c r="G142">
        <v>516000</v>
      </c>
      <c r="I142">
        <v>258000</v>
      </c>
      <c r="K142" s="2">
        <f t="shared" si="2"/>
        <v>774000</v>
      </c>
      <c r="L142" s="2">
        <v>1015</v>
      </c>
      <c r="M142">
        <v>1015</v>
      </c>
    </row>
    <row r="143" spans="1:14" x14ac:dyDescent="0.3">
      <c r="A143" t="s">
        <v>34</v>
      </c>
      <c r="B143" s="6" t="str">
        <f>HYPERLINK("https://mennonite.britecorepro.com/gateway?file=core.router&amp;method=routeEntity&amp;entity_type=policy&amp;entity_number=08-2 M 15A", "08-2 M 15A")</f>
        <v>08-2 M 15A</v>
      </c>
      <c r="C143" s="6" t="s">
        <v>405</v>
      </c>
      <c r="D143" t="s">
        <v>12</v>
      </c>
      <c r="E143" s="1">
        <v>45653</v>
      </c>
      <c r="F143" s="1">
        <v>46018</v>
      </c>
      <c r="G143">
        <v>1222000</v>
      </c>
      <c r="I143">
        <v>611000</v>
      </c>
      <c r="K143" s="2">
        <f t="shared" si="2"/>
        <v>1833000</v>
      </c>
      <c r="L143" s="2">
        <v>781</v>
      </c>
      <c r="M143">
        <v>781</v>
      </c>
    </row>
    <row r="144" spans="1:14" x14ac:dyDescent="0.3">
      <c r="A144" t="s">
        <v>240</v>
      </c>
      <c r="B144" s="6" t="str">
        <f>HYPERLINK("https://mennonite.britecorepro.com/gateway?file=core.router&amp;method=routeEntity&amp;entity_type=policy&amp;entity_number=08-2 P 05C", "08-2 P 05C")</f>
        <v>08-2 P 05C</v>
      </c>
      <c r="C144" s="6" t="s">
        <v>405</v>
      </c>
      <c r="D144" t="s">
        <v>12</v>
      </c>
      <c r="E144" s="1">
        <v>45605</v>
      </c>
      <c r="F144" s="1">
        <v>45970</v>
      </c>
      <c r="G144">
        <v>875000</v>
      </c>
      <c r="I144">
        <v>437500</v>
      </c>
      <c r="J144">
        <v>300000</v>
      </c>
      <c r="K144" s="2">
        <f t="shared" si="2"/>
        <v>1312500</v>
      </c>
      <c r="L144" s="2">
        <v>1134</v>
      </c>
      <c r="M144">
        <v>1054</v>
      </c>
      <c r="N144">
        <v>80</v>
      </c>
    </row>
    <row r="145" spans="1:14" x14ac:dyDescent="0.3">
      <c r="A145" t="s">
        <v>175</v>
      </c>
      <c r="B145" s="6" t="str">
        <f>HYPERLINK("https://mennonite.britecorepro.com/gateway?file=core.router&amp;method=routeEntity&amp;entity_type=policy&amp;entity_number=08-2 P 06", "08-2 P 06")</f>
        <v>08-2 P 06</v>
      </c>
      <c r="C145" s="6" t="s">
        <v>405</v>
      </c>
      <c r="D145" t="s">
        <v>68</v>
      </c>
      <c r="E145" s="1">
        <v>45620</v>
      </c>
      <c r="F145" s="1">
        <v>45985</v>
      </c>
      <c r="G145">
        <v>1110000</v>
      </c>
      <c r="I145">
        <v>112000</v>
      </c>
      <c r="K145" s="2">
        <f t="shared" si="2"/>
        <v>1222000</v>
      </c>
      <c r="L145" s="2">
        <v>1730</v>
      </c>
      <c r="M145">
        <v>1730</v>
      </c>
    </row>
    <row r="146" spans="1:14" x14ac:dyDescent="0.3">
      <c r="A146" t="s">
        <v>284</v>
      </c>
      <c r="B146" s="6" t="str">
        <f>HYPERLINK("https://mennonite.britecorepro.com/gateway?file=core.router&amp;method=routeEntity&amp;entity_type=policy&amp;entity_number=08-2 R 03B", "08-2 R 03B")</f>
        <v>08-2 R 03B</v>
      </c>
      <c r="C146" s="6" t="s">
        <v>405</v>
      </c>
      <c r="D146" t="s">
        <v>12</v>
      </c>
      <c r="E146" s="1">
        <v>45594</v>
      </c>
      <c r="F146" s="1">
        <v>45959</v>
      </c>
      <c r="G146">
        <v>475000</v>
      </c>
      <c r="I146">
        <v>237500</v>
      </c>
      <c r="J146">
        <v>300000</v>
      </c>
      <c r="K146" s="2">
        <f t="shared" si="2"/>
        <v>712500</v>
      </c>
      <c r="L146" s="2">
        <v>714</v>
      </c>
      <c r="M146">
        <v>634</v>
      </c>
      <c r="N146">
        <v>80</v>
      </c>
    </row>
    <row r="147" spans="1:14" x14ac:dyDescent="0.3">
      <c r="A147" t="s">
        <v>44</v>
      </c>
      <c r="B147" s="6" t="str">
        <f>HYPERLINK("https://mennonite.britecorepro.com/gateway?file=core.router&amp;method=routeEntity&amp;entity_type=policy&amp;entity_number=08-2 R 12B", "08-2 R 12B")</f>
        <v>08-2 R 12B</v>
      </c>
      <c r="C147" s="6" t="s">
        <v>405</v>
      </c>
      <c r="D147" t="s">
        <v>12</v>
      </c>
      <c r="E147" s="1">
        <v>45650</v>
      </c>
      <c r="F147" s="1">
        <v>46015</v>
      </c>
      <c r="G147">
        <v>830000</v>
      </c>
      <c r="I147">
        <v>415000</v>
      </c>
      <c r="J147">
        <v>500000</v>
      </c>
      <c r="K147" s="2">
        <f t="shared" si="2"/>
        <v>1245000</v>
      </c>
      <c r="L147" s="2">
        <v>955</v>
      </c>
      <c r="M147">
        <v>845</v>
      </c>
      <c r="N147">
        <v>110</v>
      </c>
    </row>
    <row r="148" spans="1:14" x14ac:dyDescent="0.3">
      <c r="A148" t="s">
        <v>162</v>
      </c>
      <c r="B148" s="6" t="str">
        <f>HYPERLINK("https://mennonite.britecorepro.com/gateway?file=core.router&amp;method=routeEntity&amp;entity_type=policy&amp;entity_number=08-2 R 13A", "08-2 R 13A")</f>
        <v>08-2 R 13A</v>
      </c>
      <c r="C148" s="6" t="s">
        <v>405</v>
      </c>
      <c r="D148" t="s">
        <v>12</v>
      </c>
      <c r="E148" s="1">
        <v>45623</v>
      </c>
      <c r="F148" s="1">
        <v>45988</v>
      </c>
      <c r="G148">
        <v>553000</v>
      </c>
      <c r="I148">
        <v>276500</v>
      </c>
      <c r="J148">
        <v>500000</v>
      </c>
      <c r="K148" s="2">
        <f t="shared" si="2"/>
        <v>829500</v>
      </c>
      <c r="L148" s="2">
        <v>837</v>
      </c>
      <c r="M148">
        <v>727</v>
      </c>
      <c r="N148">
        <v>110</v>
      </c>
    </row>
    <row r="149" spans="1:14" x14ac:dyDescent="0.3">
      <c r="A149" t="s">
        <v>198</v>
      </c>
      <c r="B149" s="6" t="str">
        <f>HYPERLINK("https://mennonite.britecorepro.com/gateway?file=core.router&amp;method=routeEntity&amp;entity_type=policy&amp;entity_number=08-2 W 03D", "08-2 W 03D")</f>
        <v>08-2 W 03D</v>
      </c>
      <c r="C149" s="6" t="s">
        <v>405</v>
      </c>
      <c r="D149" t="s">
        <v>12</v>
      </c>
      <c r="E149" s="1">
        <v>45615</v>
      </c>
      <c r="F149" s="1">
        <v>45980</v>
      </c>
      <c r="G149">
        <v>511000</v>
      </c>
      <c r="I149">
        <v>255500</v>
      </c>
      <c r="K149" s="2">
        <f t="shared" si="2"/>
        <v>766500</v>
      </c>
      <c r="L149" s="2">
        <v>720</v>
      </c>
      <c r="M149">
        <v>720</v>
      </c>
    </row>
    <row r="150" spans="1:14" x14ac:dyDescent="0.3">
      <c r="A150" t="s">
        <v>338</v>
      </c>
      <c r="B150" s="6" t="str">
        <f>HYPERLINK("https://mennonite.britecorepro.com/gateway?file=core.router&amp;method=routeEntity&amp;entity_type=policy&amp;entity_number=08-2 W 03E", "08-2 W 03E")</f>
        <v>08-2 W 03E</v>
      </c>
      <c r="C150" s="6" t="s">
        <v>405</v>
      </c>
      <c r="D150" t="s">
        <v>66</v>
      </c>
      <c r="E150" s="1">
        <v>45581</v>
      </c>
      <c r="F150" s="1">
        <v>45946</v>
      </c>
      <c r="G150">
        <v>864000</v>
      </c>
      <c r="I150">
        <v>259200</v>
      </c>
      <c r="K150" s="2">
        <f t="shared" si="2"/>
        <v>1123200</v>
      </c>
      <c r="L150" s="2">
        <v>1250</v>
      </c>
      <c r="M150">
        <v>1250</v>
      </c>
    </row>
    <row r="151" spans="1:14" x14ac:dyDescent="0.3">
      <c r="A151" t="s">
        <v>211</v>
      </c>
      <c r="B151" s="6" t="str">
        <f>HYPERLINK("https://mennonite.britecorepro.com/gateway?file=core.router&amp;method=routeEntity&amp;entity_type=policy&amp;entity_number=08-2 W 17", "08-2 W 17")</f>
        <v>08-2 W 17</v>
      </c>
      <c r="C151" s="6" t="s">
        <v>405</v>
      </c>
      <c r="D151" t="s">
        <v>12</v>
      </c>
      <c r="E151" s="1">
        <v>45612</v>
      </c>
      <c r="F151" s="1">
        <v>45977</v>
      </c>
      <c r="G151">
        <v>831000</v>
      </c>
      <c r="I151">
        <v>415500</v>
      </c>
      <c r="J151">
        <v>300000</v>
      </c>
      <c r="K151" s="2">
        <f t="shared" si="2"/>
        <v>1246500</v>
      </c>
      <c r="L151" s="2">
        <v>892</v>
      </c>
      <c r="M151">
        <v>812</v>
      </c>
      <c r="N151">
        <v>80</v>
      </c>
    </row>
    <row r="152" spans="1:14" x14ac:dyDescent="0.3">
      <c r="A152" t="s">
        <v>137</v>
      </c>
      <c r="B152" s="6" t="str">
        <f>HYPERLINK("https://mennonite.britecorepro.com/gateway?file=core.router&amp;method=routeEntity&amp;entity_type=policy&amp;entity_number=09-0 C 01", "09-0 C 01")</f>
        <v>09-0 C 01</v>
      </c>
      <c r="C152" s="6" t="s">
        <v>405</v>
      </c>
      <c r="D152" t="s">
        <v>68</v>
      </c>
      <c r="E152" s="1">
        <v>45629</v>
      </c>
      <c r="F152" s="1">
        <v>45994</v>
      </c>
      <c r="G152">
        <v>1080000</v>
      </c>
      <c r="I152">
        <v>108000</v>
      </c>
      <c r="K152" s="2">
        <f t="shared" si="2"/>
        <v>1188000</v>
      </c>
      <c r="L152" s="2">
        <v>1854</v>
      </c>
      <c r="M152">
        <v>1854</v>
      </c>
    </row>
    <row r="153" spans="1:14" x14ac:dyDescent="0.3">
      <c r="A153" t="s">
        <v>392</v>
      </c>
      <c r="B153" s="6" t="str">
        <f>HYPERLINK("https://mennonite.britecorepro.com/gateway?file=core.router&amp;method=routeEntity&amp;entity_type=policy&amp;entity_number=09-0 T 03", "09-0 T 03")</f>
        <v>09-0 T 03</v>
      </c>
      <c r="C153" s="6" t="s">
        <v>405</v>
      </c>
      <c r="D153" t="s">
        <v>12</v>
      </c>
      <c r="E153" s="1">
        <v>45566</v>
      </c>
      <c r="F153" s="1">
        <v>45931</v>
      </c>
      <c r="G153">
        <v>342000</v>
      </c>
      <c r="I153">
        <v>171000</v>
      </c>
      <c r="J153">
        <v>300000</v>
      </c>
      <c r="K153" s="2">
        <f t="shared" si="2"/>
        <v>513000</v>
      </c>
      <c r="L153" s="2">
        <v>462</v>
      </c>
      <c r="M153">
        <v>382</v>
      </c>
      <c r="N153">
        <v>80</v>
      </c>
    </row>
    <row r="154" spans="1:14" x14ac:dyDescent="0.3">
      <c r="A154" t="s">
        <v>248</v>
      </c>
      <c r="B154" s="6" t="str">
        <f>HYPERLINK("https://mennonite.britecorepro.com/gateway?file=core.router&amp;method=routeEntity&amp;entity_type=policy&amp;entity_number=09-0 W 10", "09-0 W 10")</f>
        <v>09-0 W 10</v>
      </c>
      <c r="C154" s="6" t="s">
        <v>405</v>
      </c>
      <c r="D154" t="s">
        <v>12</v>
      </c>
      <c r="E154" s="1">
        <v>45603</v>
      </c>
      <c r="F154" s="1">
        <v>45968</v>
      </c>
      <c r="G154">
        <v>421000</v>
      </c>
      <c r="I154">
        <v>210500</v>
      </c>
      <c r="J154">
        <v>500000</v>
      </c>
      <c r="K154" s="2">
        <f t="shared" si="2"/>
        <v>631500</v>
      </c>
      <c r="L154" s="2">
        <v>916</v>
      </c>
      <c r="M154">
        <v>806</v>
      </c>
      <c r="N154">
        <v>110</v>
      </c>
    </row>
    <row r="155" spans="1:14" x14ac:dyDescent="0.3">
      <c r="A155" t="s">
        <v>299</v>
      </c>
      <c r="B155" s="6" t="str">
        <f>HYPERLINK("https://mennonite.britecorepro.com/gateway?file=core.router&amp;method=routeEntity&amp;entity_type=policy&amp;entity_number=10-1 B 26", "10-1 B 26")</f>
        <v>10-1 B 26</v>
      </c>
      <c r="C155" s="6" t="s">
        <v>405</v>
      </c>
      <c r="D155" t="s">
        <v>12</v>
      </c>
      <c r="E155" s="1">
        <v>45591</v>
      </c>
      <c r="F155" s="1">
        <v>45956</v>
      </c>
      <c r="G155">
        <v>491000</v>
      </c>
      <c r="I155">
        <v>245500</v>
      </c>
      <c r="J155">
        <v>500000</v>
      </c>
      <c r="K155" s="2">
        <f t="shared" si="2"/>
        <v>736500</v>
      </c>
      <c r="L155" s="2">
        <v>1480</v>
      </c>
      <c r="M155">
        <v>1370</v>
      </c>
      <c r="N155">
        <v>110</v>
      </c>
    </row>
    <row r="156" spans="1:14" x14ac:dyDescent="0.3">
      <c r="A156" t="s">
        <v>241</v>
      </c>
      <c r="B156" s="6" t="str">
        <f>HYPERLINK("https://mennonite.britecorepro.com/gateway?file=core.router&amp;method=routeEntity&amp;entity_type=policy&amp;entity_number=10-1 H 02D", "10-1 H 02D")</f>
        <v>10-1 H 02D</v>
      </c>
      <c r="C156" s="6" t="s">
        <v>405</v>
      </c>
      <c r="D156" t="s">
        <v>12</v>
      </c>
      <c r="E156" s="1">
        <v>45605</v>
      </c>
      <c r="F156" s="1">
        <v>45970</v>
      </c>
      <c r="G156">
        <v>1350000</v>
      </c>
      <c r="I156">
        <v>675000</v>
      </c>
      <c r="J156">
        <v>500000</v>
      </c>
      <c r="K156" s="2">
        <f t="shared" si="2"/>
        <v>2025000</v>
      </c>
      <c r="L156" s="2">
        <v>2652</v>
      </c>
      <c r="M156">
        <v>2542</v>
      </c>
      <c r="N156">
        <v>110</v>
      </c>
    </row>
    <row r="157" spans="1:14" x14ac:dyDescent="0.3">
      <c r="A157" t="s">
        <v>187</v>
      </c>
      <c r="B157" s="6" t="str">
        <f>HYPERLINK("https://mennonite.britecorepro.com/gateway?file=core.router&amp;method=routeEntity&amp;entity_type=policy&amp;entity_number=10-1 S 12", "10-1 S 12")</f>
        <v>10-1 S 12</v>
      </c>
      <c r="C157" s="6" t="s">
        <v>405</v>
      </c>
      <c r="D157" t="s">
        <v>12</v>
      </c>
      <c r="E157" s="1">
        <v>45617</v>
      </c>
      <c r="F157" s="1">
        <v>45982</v>
      </c>
      <c r="G157">
        <v>1097000</v>
      </c>
      <c r="I157">
        <v>548500</v>
      </c>
      <c r="K157" s="2">
        <f t="shared" si="2"/>
        <v>1645500</v>
      </c>
      <c r="L157" s="2">
        <v>2438</v>
      </c>
      <c r="M157">
        <v>2438</v>
      </c>
    </row>
    <row r="158" spans="1:14" x14ac:dyDescent="0.3">
      <c r="A158" t="s">
        <v>273</v>
      </c>
      <c r="B158" s="6" t="str">
        <f>HYPERLINK("https://mennonite.britecorepro.com/gateway?file=core.router&amp;method=routeEntity&amp;entity_type=policy&amp;entity_number=10-2 B 03B", "10-2 B 03B")</f>
        <v>10-2 B 03B</v>
      </c>
      <c r="C158" s="6" t="s">
        <v>405</v>
      </c>
      <c r="D158" t="s">
        <v>66</v>
      </c>
      <c r="E158" s="1">
        <v>45596</v>
      </c>
      <c r="F158" s="1">
        <v>45961</v>
      </c>
      <c r="G158">
        <v>1000000</v>
      </c>
      <c r="I158">
        <v>300000</v>
      </c>
      <c r="K158" s="2">
        <f t="shared" si="2"/>
        <v>1300000</v>
      </c>
      <c r="L158" s="2">
        <v>1447</v>
      </c>
      <c r="M158">
        <v>1447</v>
      </c>
    </row>
    <row r="159" spans="1:14" x14ac:dyDescent="0.3">
      <c r="A159" t="s">
        <v>113</v>
      </c>
      <c r="B159" s="6" t="str">
        <f>HYPERLINK("https://mennonite.britecorepro.com/gateway?file=core.router&amp;method=routeEntity&amp;entity_type=policy&amp;entity_number=10-2 B 03C", "10-2 B 03C")</f>
        <v>10-2 B 03C</v>
      </c>
      <c r="C159" s="6" t="s">
        <v>405</v>
      </c>
      <c r="D159" t="s">
        <v>66</v>
      </c>
      <c r="E159" s="1">
        <v>45636</v>
      </c>
      <c r="F159" s="1">
        <v>46001</v>
      </c>
      <c r="G159">
        <v>494000</v>
      </c>
      <c r="I159">
        <v>148200</v>
      </c>
      <c r="J159">
        <v>500000</v>
      </c>
      <c r="K159" s="2">
        <f t="shared" si="2"/>
        <v>642200</v>
      </c>
      <c r="L159" s="2">
        <v>1881</v>
      </c>
      <c r="M159">
        <v>1851</v>
      </c>
      <c r="N159">
        <v>30</v>
      </c>
    </row>
    <row r="160" spans="1:14" x14ac:dyDescent="0.3">
      <c r="A160" t="s">
        <v>242</v>
      </c>
      <c r="B160" s="6" t="str">
        <f>HYPERLINK("https://mennonite.britecorepro.com/gateway?file=core.router&amp;method=routeEntity&amp;entity_type=policy&amp;entity_number=10-2 C 03", "10-2 C 03")</f>
        <v>10-2 C 03</v>
      </c>
      <c r="C160" s="6" t="s">
        <v>405</v>
      </c>
      <c r="D160" t="s">
        <v>12</v>
      </c>
      <c r="E160" s="1">
        <v>45605</v>
      </c>
      <c r="F160" s="1">
        <v>45970</v>
      </c>
      <c r="G160">
        <v>714000</v>
      </c>
      <c r="I160">
        <v>357000</v>
      </c>
      <c r="J160">
        <v>300000</v>
      </c>
      <c r="K160" s="2">
        <f t="shared" si="2"/>
        <v>1071000</v>
      </c>
      <c r="L160" s="2">
        <v>2658</v>
      </c>
      <c r="M160">
        <v>2578</v>
      </c>
      <c r="N160">
        <v>80</v>
      </c>
    </row>
    <row r="161" spans="1:14" x14ac:dyDescent="0.3">
      <c r="A161" t="s">
        <v>265</v>
      </c>
      <c r="B161" s="6" t="str">
        <f>HYPERLINK("https://mennonite.britecorepro.com/gateway?file=core.router&amp;method=routeEntity&amp;entity_type=policy&amp;entity_number=10-2 K 02F", "10-2 K 02F")</f>
        <v>10-2 K 02F</v>
      </c>
      <c r="C161" s="6" t="s">
        <v>405</v>
      </c>
      <c r="D161" t="s">
        <v>16</v>
      </c>
      <c r="E161" s="1">
        <v>45597</v>
      </c>
      <c r="F161" s="1">
        <v>45962</v>
      </c>
      <c r="G161">
        <v>182000</v>
      </c>
      <c r="I161">
        <v>1000</v>
      </c>
      <c r="K161" s="2">
        <f t="shared" si="2"/>
        <v>183000</v>
      </c>
      <c r="L161" s="2">
        <v>518</v>
      </c>
      <c r="M161">
        <v>518</v>
      </c>
    </row>
    <row r="162" spans="1:14" x14ac:dyDescent="0.3">
      <c r="A162" t="s">
        <v>231</v>
      </c>
      <c r="B162" s="6" t="str">
        <f>HYPERLINK("https://mennonite.britecorepro.com/gateway?file=core.router&amp;method=routeEntity&amp;entity_type=policy&amp;entity_number=10-2 L 06C", "10-2 L 06C")</f>
        <v>10-2 L 06C</v>
      </c>
      <c r="C162" s="6" t="s">
        <v>405</v>
      </c>
      <c r="D162" t="s">
        <v>12</v>
      </c>
      <c r="E162" s="1">
        <v>45607</v>
      </c>
      <c r="F162" s="1">
        <v>45972</v>
      </c>
      <c r="G162">
        <v>1056000</v>
      </c>
      <c r="I162">
        <v>528000</v>
      </c>
      <c r="J162">
        <v>500000</v>
      </c>
      <c r="K162" s="2">
        <f t="shared" si="2"/>
        <v>1584000</v>
      </c>
      <c r="L162" s="2">
        <v>2010</v>
      </c>
      <c r="M162">
        <v>1900</v>
      </c>
      <c r="N162">
        <v>110</v>
      </c>
    </row>
    <row r="163" spans="1:14" x14ac:dyDescent="0.3">
      <c r="A163" t="s">
        <v>101</v>
      </c>
      <c r="B163" s="6" t="str">
        <f>HYPERLINK("https://mennonite.britecorepro.com/gateway?file=core.router&amp;method=routeEntity&amp;entity_type=policy&amp;entity_number=11-1 A 02", "11-1 A 02")</f>
        <v>11-1 A 02</v>
      </c>
      <c r="C163" s="6" t="s">
        <v>405</v>
      </c>
      <c r="D163" t="s">
        <v>12</v>
      </c>
      <c r="E163" s="1">
        <v>45638</v>
      </c>
      <c r="F163" s="1">
        <v>46003</v>
      </c>
      <c r="G163">
        <v>364000</v>
      </c>
      <c r="H163">
        <v>8000</v>
      </c>
      <c r="I163">
        <v>182000</v>
      </c>
      <c r="J163">
        <v>300000</v>
      </c>
      <c r="K163" s="2">
        <f t="shared" si="2"/>
        <v>554000</v>
      </c>
      <c r="L163" s="2">
        <v>715</v>
      </c>
      <c r="M163">
        <v>635</v>
      </c>
      <c r="N163">
        <v>80</v>
      </c>
    </row>
    <row r="164" spans="1:14" x14ac:dyDescent="0.3">
      <c r="A164" t="s">
        <v>128</v>
      </c>
      <c r="B164" s="6" t="str">
        <f>HYPERLINK("https://mennonite.britecorepro.com/gateway?file=core.router&amp;method=routeEntity&amp;entity_type=policy&amp;entity_number=11-1 B 33", "11-1 B 33")</f>
        <v>11-1 B 33</v>
      </c>
      <c r="C164" s="6" t="s">
        <v>405</v>
      </c>
      <c r="D164" t="s">
        <v>12</v>
      </c>
      <c r="E164" s="1">
        <v>45631</v>
      </c>
      <c r="F164" s="1">
        <v>45996</v>
      </c>
      <c r="G164">
        <v>556000</v>
      </c>
      <c r="I164">
        <v>278000</v>
      </c>
      <c r="J164">
        <v>500000</v>
      </c>
      <c r="K164" s="2">
        <f t="shared" si="2"/>
        <v>834000</v>
      </c>
      <c r="L164" s="2">
        <v>1092</v>
      </c>
      <c r="M164">
        <v>982</v>
      </c>
      <c r="N164">
        <v>110</v>
      </c>
    </row>
    <row r="165" spans="1:14" x14ac:dyDescent="0.3">
      <c r="A165" t="s">
        <v>102</v>
      </c>
      <c r="B165" s="6" t="str">
        <f>HYPERLINK("https://mennonite.britecorepro.com/gateway?file=core.router&amp;method=routeEntity&amp;entity_type=policy&amp;entity_number=11-1 E 09A", "11-1 E 09A")</f>
        <v>11-1 E 09A</v>
      </c>
      <c r="C165" s="6" t="s">
        <v>405</v>
      </c>
      <c r="D165" t="s">
        <v>66</v>
      </c>
      <c r="E165" s="1">
        <v>45638</v>
      </c>
      <c r="F165" s="1">
        <v>46003</v>
      </c>
      <c r="G165">
        <v>307000</v>
      </c>
      <c r="I165">
        <v>92100</v>
      </c>
      <c r="J165">
        <v>500000</v>
      </c>
      <c r="K165" s="2">
        <f t="shared" si="2"/>
        <v>399100</v>
      </c>
      <c r="L165" s="2">
        <v>698</v>
      </c>
      <c r="M165">
        <v>668</v>
      </c>
      <c r="N165">
        <v>30</v>
      </c>
    </row>
    <row r="166" spans="1:14" x14ac:dyDescent="0.3">
      <c r="A166" t="s">
        <v>280</v>
      </c>
      <c r="B166" s="6" t="str">
        <f>HYPERLINK("https://mennonite.britecorepro.com/gateway?file=core.router&amp;method=routeEntity&amp;entity_type=policy&amp;entity_number=11-1 F 07A", "11-1 F 07A")</f>
        <v>11-1 F 07A</v>
      </c>
      <c r="C166" s="6" t="s">
        <v>405</v>
      </c>
      <c r="D166" t="s">
        <v>12</v>
      </c>
      <c r="E166" s="1">
        <v>45595</v>
      </c>
      <c r="F166" s="1">
        <v>45960</v>
      </c>
      <c r="G166">
        <v>490000</v>
      </c>
      <c r="I166">
        <v>245000</v>
      </c>
      <c r="J166">
        <v>500000</v>
      </c>
      <c r="K166" s="2">
        <f t="shared" si="2"/>
        <v>735000</v>
      </c>
      <c r="L166" s="2">
        <v>1081</v>
      </c>
      <c r="M166">
        <v>971</v>
      </c>
      <c r="N166">
        <v>110</v>
      </c>
    </row>
    <row r="167" spans="1:14" x14ac:dyDescent="0.3">
      <c r="A167" t="s">
        <v>205</v>
      </c>
      <c r="B167" s="6" t="str">
        <f>HYPERLINK("https://mennonite.britecorepro.com/gateway?file=core.router&amp;method=routeEntity&amp;entity_type=policy&amp;entity_number=11-1 F 14A", "11-1 F 14A")</f>
        <v>11-1 F 14A</v>
      </c>
      <c r="C167" s="6" t="s">
        <v>405</v>
      </c>
      <c r="D167" t="s">
        <v>12</v>
      </c>
      <c r="E167" s="1">
        <v>45613</v>
      </c>
      <c r="F167" s="1">
        <v>45978</v>
      </c>
      <c r="G167">
        <v>471000</v>
      </c>
      <c r="I167">
        <v>235500</v>
      </c>
      <c r="J167">
        <v>300000</v>
      </c>
      <c r="K167" s="2">
        <f t="shared" si="2"/>
        <v>706500</v>
      </c>
      <c r="L167" s="2">
        <v>782</v>
      </c>
      <c r="M167">
        <v>702</v>
      </c>
      <c r="N167">
        <v>80</v>
      </c>
    </row>
    <row r="168" spans="1:14" x14ac:dyDescent="0.3">
      <c r="A168" t="s">
        <v>266</v>
      </c>
      <c r="B168" s="6" t="str">
        <f>HYPERLINK("https://mennonite.britecorepro.com/gateway?file=core.router&amp;method=routeEntity&amp;entity_type=policy&amp;entity_number=11-1 G 09A", "11-1 G 09A")</f>
        <v>11-1 G 09A</v>
      </c>
      <c r="C168" s="6" t="s">
        <v>405</v>
      </c>
      <c r="D168" t="s">
        <v>66</v>
      </c>
      <c r="E168" s="1">
        <v>45597</v>
      </c>
      <c r="F168" s="1">
        <v>45962</v>
      </c>
      <c r="G168">
        <v>195000</v>
      </c>
      <c r="I168">
        <v>58500</v>
      </c>
      <c r="K168" s="2">
        <f t="shared" si="2"/>
        <v>253500</v>
      </c>
      <c r="L168" s="2">
        <v>1392</v>
      </c>
      <c r="M168">
        <v>1392</v>
      </c>
    </row>
    <row r="169" spans="1:14" x14ac:dyDescent="0.3">
      <c r="A169" t="s">
        <v>393</v>
      </c>
      <c r="B169" s="6" t="str">
        <f>HYPERLINK("https://mennonite.britecorepro.com/gateway?file=core.router&amp;method=routeEntity&amp;entity_type=policy&amp;entity_number=11-1 G 21", "11-1 G 21")</f>
        <v>11-1 G 21</v>
      </c>
      <c r="C169" s="6" t="s">
        <v>405</v>
      </c>
      <c r="D169" t="s">
        <v>12</v>
      </c>
      <c r="E169" s="1">
        <v>45566</v>
      </c>
      <c r="F169" s="1">
        <v>45931</v>
      </c>
      <c r="G169">
        <v>359000</v>
      </c>
      <c r="I169">
        <v>179500</v>
      </c>
      <c r="J169">
        <v>500000</v>
      </c>
      <c r="K169" s="2">
        <f t="shared" si="2"/>
        <v>538500</v>
      </c>
      <c r="L169" s="2">
        <v>1043</v>
      </c>
      <c r="M169">
        <v>933</v>
      </c>
      <c r="N169">
        <v>110</v>
      </c>
    </row>
    <row r="170" spans="1:14" x14ac:dyDescent="0.3">
      <c r="A170" t="s">
        <v>206</v>
      </c>
      <c r="B170" s="6" t="str">
        <f>HYPERLINK("https://mennonite.britecorepro.com/gateway?file=core.router&amp;method=routeEntity&amp;entity_type=policy&amp;entity_number=11-1 H 03B", "11-1 H 03B")</f>
        <v>11-1 H 03B</v>
      </c>
      <c r="C170" s="6" t="s">
        <v>405</v>
      </c>
      <c r="D170" t="s">
        <v>12</v>
      </c>
      <c r="E170" s="1">
        <v>45613</v>
      </c>
      <c r="F170" s="1">
        <v>45978</v>
      </c>
      <c r="G170">
        <v>349000</v>
      </c>
      <c r="I170">
        <v>174500</v>
      </c>
      <c r="K170" s="2">
        <f t="shared" si="2"/>
        <v>523500</v>
      </c>
      <c r="L170" s="2">
        <v>528</v>
      </c>
      <c r="M170">
        <v>528</v>
      </c>
    </row>
    <row r="171" spans="1:14" x14ac:dyDescent="0.3">
      <c r="A171" t="s">
        <v>373</v>
      </c>
      <c r="B171" s="6" t="str">
        <f>HYPERLINK("https://mennonite.britecorepro.com/gateway?file=core.router&amp;method=routeEntity&amp;entity_type=policy&amp;entity_number=11-1 H 09B", "11-1 H 09B")</f>
        <v>11-1 H 09B</v>
      </c>
      <c r="C171" s="6" t="s">
        <v>405</v>
      </c>
      <c r="D171" t="s">
        <v>12</v>
      </c>
      <c r="E171" s="1">
        <v>45571</v>
      </c>
      <c r="F171" s="1">
        <v>45936</v>
      </c>
      <c r="G171">
        <v>440000</v>
      </c>
      <c r="I171">
        <v>220000</v>
      </c>
      <c r="J171">
        <v>500000</v>
      </c>
      <c r="K171" s="2">
        <f t="shared" si="2"/>
        <v>660000</v>
      </c>
      <c r="L171" s="2">
        <v>885</v>
      </c>
      <c r="M171">
        <v>775</v>
      </c>
      <c r="N171">
        <v>110</v>
      </c>
    </row>
    <row r="172" spans="1:14" x14ac:dyDescent="0.3">
      <c r="A172" t="s">
        <v>207</v>
      </c>
      <c r="B172" s="6" t="str">
        <f>HYPERLINK("https://mennonite.britecorepro.com/gateway?file=core.router&amp;method=routeEntity&amp;entity_type=policy&amp;entity_number=11-1 H 12", "11-1 H 12")</f>
        <v>11-1 H 12</v>
      </c>
      <c r="C172" s="6" t="s">
        <v>405</v>
      </c>
      <c r="D172" t="s">
        <v>12</v>
      </c>
      <c r="E172" s="1">
        <v>45613</v>
      </c>
      <c r="F172" s="1">
        <v>45978</v>
      </c>
      <c r="G172">
        <v>558000</v>
      </c>
      <c r="I172">
        <v>279000</v>
      </c>
      <c r="J172">
        <v>300000</v>
      </c>
      <c r="K172" s="2">
        <f t="shared" si="2"/>
        <v>837000</v>
      </c>
      <c r="L172" s="2">
        <v>850</v>
      </c>
      <c r="M172">
        <v>770</v>
      </c>
      <c r="N172">
        <v>80</v>
      </c>
    </row>
    <row r="173" spans="1:14" x14ac:dyDescent="0.3">
      <c r="A173" t="s">
        <v>219</v>
      </c>
      <c r="B173" s="6" t="str">
        <f>HYPERLINK("https://mennonite.britecorepro.com/gateway?file=core.router&amp;method=routeEntity&amp;entity_type=policy&amp;entity_number=11-1 H 18A", "11-1 H 18A")</f>
        <v>11-1 H 18A</v>
      </c>
      <c r="C173" s="6" t="s">
        <v>405</v>
      </c>
      <c r="D173" t="s">
        <v>12</v>
      </c>
      <c r="E173" s="1">
        <v>45610</v>
      </c>
      <c r="F173" s="1">
        <v>45975</v>
      </c>
      <c r="G173">
        <v>445000</v>
      </c>
      <c r="I173">
        <v>222500</v>
      </c>
      <c r="J173">
        <v>500000</v>
      </c>
      <c r="K173" s="2">
        <f t="shared" si="2"/>
        <v>667500</v>
      </c>
      <c r="L173" s="2">
        <v>738</v>
      </c>
      <c r="M173">
        <v>628</v>
      </c>
      <c r="N173">
        <v>110</v>
      </c>
    </row>
    <row r="174" spans="1:14" x14ac:dyDescent="0.3">
      <c r="A174" t="s">
        <v>13</v>
      </c>
      <c r="B174" s="6" t="str">
        <f>HYPERLINK("https://mennonite.britecorepro.com/gateway?file=core.router&amp;method=routeEntity&amp;entity_type=policy&amp;entity_number=11-1 H 21", "11-1 H 21")</f>
        <v>11-1 H 21</v>
      </c>
      <c r="C174" s="6" t="s">
        <v>405</v>
      </c>
      <c r="D174" t="s">
        <v>12</v>
      </c>
      <c r="E174" s="1">
        <v>45657</v>
      </c>
      <c r="F174" s="1">
        <v>46022</v>
      </c>
      <c r="G174">
        <v>354000</v>
      </c>
      <c r="I174">
        <v>177000</v>
      </c>
      <c r="J174">
        <v>300000</v>
      </c>
      <c r="K174" s="2">
        <f t="shared" si="2"/>
        <v>531000</v>
      </c>
      <c r="L174" s="2">
        <v>607</v>
      </c>
      <c r="M174">
        <v>527</v>
      </c>
      <c r="N174">
        <v>80</v>
      </c>
    </row>
    <row r="175" spans="1:14" x14ac:dyDescent="0.3">
      <c r="A175" t="s">
        <v>305</v>
      </c>
      <c r="B175" s="6" t="str">
        <f>HYPERLINK("https://mennonite.britecorepro.com/gateway?file=core.router&amp;method=routeEntity&amp;entity_type=policy&amp;entity_number=11-1 H 22", "11-1 H 22")</f>
        <v>11-1 H 22</v>
      </c>
      <c r="C175" s="6" t="s">
        <v>405</v>
      </c>
      <c r="D175" t="s">
        <v>12</v>
      </c>
      <c r="E175" s="1">
        <v>45590</v>
      </c>
      <c r="F175" s="1">
        <v>45955</v>
      </c>
      <c r="G175">
        <v>358000</v>
      </c>
      <c r="H175">
        <v>15000</v>
      </c>
      <c r="I175">
        <v>179000</v>
      </c>
      <c r="J175">
        <v>500000</v>
      </c>
      <c r="K175" s="2">
        <f t="shared" si="2"/>
        <v>552000</v>
      </c>
      <c r="L175" s="2">
        <v>1161</v>
      </c>
      <c r="M175">
        <v>1051</v>
      </c>
      <c r="N175">
        <v>110</v>
      </c>
    </row>
    <row r="176" spans="1:14" x14ac:dyDescent="0.3">
      <c r="A176" t="s">
        <v>208</v>
      </c>
      <c r="B176" s="6" t="str">
        <f>HYPERLINK("https://mennonite.britecorepro.com/gateway?file=core.router&amp;method=routeEntity&amp;entity_type=policy&amp;entity_number=11-1 K 06A", "11-1 K 06A")</f>
        <v>11-1 K 06A</v>
      </c>
      <c r="C176" s="6" t="s">
        <v>405</v>
      </c>
      <c r="D176" t="s">
        <v>12</v>
      </c>
      <c r="E176" s="1">
        <v>45613</v>
      </c>
      <c r="F176" s="1">
        <v>45978</v>
      </c>
      <c r="G176">
        <v>746000</v>
      </c>
      <c r="I176">
        <v>373000</v>
      </c>
      <c r="J176">
        <v>300000</v>
      </c>
      <c r="K176" s="2">
        <f t="shared" si="2"/>
        <v>1119000</v>
      </c>
      <c r="L176" s="2">
        <v>1319</v>
      </c>
      <c r="M176">
        <v>1239</v>
      </c>
      <c r="N176">
        <v>80</v>
      </c>
    </row>
    <row r="177" spans="1:14" x14ac:dyDescent="0.3">
      <c r="A177" t="s">
        <v>176</v>
      </c>
      <c r="B177" s="6" t="str">
        <f>HYPERLINK("https://mennonite.britecorepro.com/gateway?file=core.router&amp;method=routeEntity&amp;entity_type=policy&amp;entity_number=11-1 M 10", "11-1 M 10")</f>
        <v>11-1 M 10</v>
      </c>
      <c r="C177" s="6" t="s">
        <v>405</v>
      </c>
      <c r="D177" t="s">
        <v>12</v>
      </c>
      <c r="E177" s="1">
        <v>45620</v>
      </c>
      <c r="F177" s="1">
        <v>45985</v>
      </c>
      <c r="G177">
        <v>495000</v>
      </c>
      <c r="I177">
        <v>247500</v>
      </c>
      <c r="K177" s="2">
        <f t="shared" si="2"/>
        <v>742500</v>
      </c>
      <c r="L177" s="2">
        <v>926</v>
      </c>
      <c r="M177">
        <v>926</v>
      </c>
    </row>
    <row r="178" spans="1:14" x14ac:dyDescent="0.3">
      <c r="A178" t="s">
        <v>64</v>
      </c>
      <c r="B178" s="6" t="str">
        <f>HYPERLINK("https://mennonite.britecorepro.com/gateway?file=core.router&amp;method=routeEntity&amp;entity_type=policy&amp;entity_number=11-1 M 15B", "11-1 M 15B")</f>
        <v>11-1 M 15B</v>
      </c>
      <c r="C178" s="6" t="s">
        <v>405</v>
      </c>
      <c r="D178" t="s">
        <v>16</v>
      </c>
      <c r="E178" s="1">
        <v>45646</v>
      </c>
      <c r="F178" s="1">
        <v>46011</v>
      </c>
      <c r="G178">
        <v>236000</v>
      </c>
      <c r="H178">
        <v>19000</v>
      </c>
      <c r="I178">
        <v>1000</v>
      </c>
      <c r="J178">
        <v>300000</v>
      </c>
      <c r="K178" s="2">
        <f t="shared" si="2"/>
        <v>256000</v>
      </c>
      <c r="L178" s="2">
        <v>964</v>
      </c>
      <c r="M178">
        <v>934</v>
      </c>
      <c r="N178">
        <v>30</v>
      </c>
    </row>
    <row r="179" spans="1:14" x14ac:dyDescent="0.3">
      <c r="A179" t="s">
        <v>193</v>
      </c>
      <c r="B179" s="6" t="str">
        <f>HYPERLINK("https://mennonite.britecorepro.com/gateway?file=core.router&amp;method=routeEntity&amp;entity_type=policy&amp;entity_number=11-1 N 19A", "11-1 N 19A")</f>
        <v>11-1 N 19A</v>
      </c>
      <c r="C179" s="6" t="s">
        <v>405</v>
      </c>
      <c r="D179" t="s">
        <v>12</v>
      </c>
      <c r="E179" s="1">
        <v>45616</v>
      </c>
      <c r="F179" s="1">
        <v>45981</v>
      </c>
      <c r="G179">
        <v>616000</v>
      </c>
      <c r="I179">
        <v>308000</v>
      </c>
      <c r="J179">
        <v>500000</v>
      </c>
      <c r="K179" s="2">
        <f t="shared" si="2"/>
        <v>924000</v>
      </c>
      <c r="L179" s="2">
        <v>969</v>
      </c>
      <c r="M179">
        <v>859</v>
      </c>
      <c r="N179">
        <v>110</v>
      </c>
    </row>
    <row r="180" spans="1:14" x14ac:dyDescent="0.3">
      <c r="A180" t="s">
        <v>103</v>
      </c>
      <c r="B180" s="6" t="str">
        <f>HYPERLINK("https://mennonite.britecorepro.com/gateway?file=core.router&amp;method=routeEntity&amp;entity_type=policy&amp;entity_number=11-1 N 22", "11-1 N 22")</f>
        <v>11-1 N 22</v>
      </c>
      <c r="C180" s="6" t="s">
        <v>405</v>
      </c>
      <c r="D180" t="s">
        <v>12</v>
      </c>
      <c r="E180" s="1">
        <v>45638</v>
      </c>
      <c r="F180" s="1">
        <v>46003</v>
      </c>
      <c r="G180">
        <v>596000</v>
      </c>
      <c r="I180">
        <v>298000</v>
      </c>
      <c r="K180" s="2">
        <f t="shared" si="2"/>
        <v>894000</v>
      </c>
      <c r="L180" s="2">
        <v>616</v>
      </c>
      <c r="M180">
        <v>616</v>
      </c>
    </row>
    <row r="181" spans="1:14" x14ac:dyDescent="0.3">
      <c r="A181" t="s">
        <v>249</v>
      </c>
      <c r="B181" s="6" t="str">
        <f>HYPERLINK("https://mennonite.britecorepro.com/gateway?file=core.router&amp;method=routeEntity&amp;entity_type=policy&amp;entity_number=11-1 N 25A", "11-1 N 25A")</f>
        <v>11-1 N 25A</v>
      </c>
      <c r="C181" s="6" t="s">
        <v>405</v>
      </c>
      <c r="D181" t="s">
        <v>12</v>
      </c>
      <c r="E181" s="1">
        <v>45603</v>
      </c>
      <c r="F181" s="1">
        <v>45968</v>
      </c>
      <c r="G181">
        <v>522000</v>
      </c>
      <c r="I181">
        <v>261000</v>
      </c>
      <c r="J181">
        <v>300000</v>
      </c>
      <c r="K181" s="2">
        <f t="shared" si="2"/>
        <v>783000</v>
      </c>
      <c r="L181" s="2">
        <v>1009</v>
      </c>
      <c r="M181">
        <v>929</v>
      </c>
      <c r="N181">
        <v>80</v>
      </c>
    </row>
    <row r="182" spans="1:14" x14ac:dyDescent="0.3">
      <c r="A182" t="s">
        <v>165</v>
      </c>
      <c r="B182" s="6" t="str">
        <f>HYPERLINK("https://mennonite.britecorepro.com/gateway?file=core.router&amp;method=routeEntity&amp;entity_type=policy&amp;entity_number=11-1 R 02B", "11-1 R 02B")</f>
        <v>11-1 R 02B</v>
      </c>
      <c r="C182" s="6" t="s">
        <v>405</v>
      </c>
      <c r="D182" t="s">
        <v>12</v>
      </c>
      <c r="E182" s="1">
        <v>45622</v>
      </c>
      <c r="F182" s="1">
        <v>45987</v>
      </c>
      <c r="G182">
        <v>548000</v>
      </c>
      <c r="I182">
        <v>274000</v>
      </c>
      <c r="J182">
        <v>300000</v>
      </c>
      <c r="K182" s="2">
        <f t="shared" si="2"/>
        <v>822000</v>
      </c>
      <c r="L182" s="2">
        <v>1349</v>
      </c>
      <c r="M182">
        <v>1269</v>
      </c>
      <c r="N182">
        <v>80</v>
      </c>
    </row>
    <row r="183" spans="1:14" x14ac:dyDescent="0.3">
      <c r="A183" t="s">
        <v>45</v>
      </c>
      <c r="B183" s="6" t="str">
        <f>HYPERLINK("https://mennonite.britecorepro.com/gateway?file=core.router&amp;method=routeEntity&amp;entity_type=policy&amp;entity_number=11-1 S 21C", "11-1 S 21C")</f>
        <v>11-1 S 21C</v>
      </c>
      <c r="C183" s="6" t="s">
        <v>405</v>
      </c>
      <c r="D183" t="s">
        <v>12</v>
      </c>
      <c r="E183" s="1">
        <v>45649</v>
      </c>
      <c r="F183" s="1">
        <v>46014</v>
      </c>
      <c r="G183">
        <v>925000</v>
      </c>
      <c r="H183">
        <v>215000</v>
      </c>
      <c r="I183">
        <v>462500</v>
      </c>
      <c r="J183">
        <v>300000</v>
      </c>
      <c r="K183" s="2">
        <f t="shared" si="2"/>
        <v>1602500</v>
      </c>
      <c r="L183" s="2">
        <v>1962</v>
      </c>
      <c r="M183">
        <v>1882</v>
      </c>
      <c r="N183">
        <v>80</v>
      </c>
    </row>
    <row r="184" spans="1:14" x14ac:dyDescent="0.3">
      <c r="A184" t="s">
        <v>310</v>
      </c>
      <c r="B184" s="6" t="str">
        <f>HYPERLINK("https://mennonite.britecorepro.com/gateway?file=core.router&amp;method=routeEntity&amp;entity_type=policy&amp;entity_number=11-1 T 09", "11-1 T 09")</f>
        <v>11-1 T 09</v>
      </c>
      <c r="C184" s="6" t="s">
        <v>405</v>
      </c>
      <c r="D184" t="s">
        <v>12</v>
      </c>
      <c r="E184" s="1">
        <v>45588</v>
      </c>
      <c r="F184" s="1">
        <v>45953</v>
      </c>
      <c r="G184">
        <v>783000</v>
      </c>
      <c r="I184">
        <v>391500</v>
      </c>
      <c r="J184">
        <v>500000</v>
      </c>
      <c r="K184" s="2">
        <f t="shared" si="2"/>
        <v>1174500</v>
      </c>
      <c r="L184" s="2">
        <v>1273</v>
      </c>
      <c r="M184">
        <v>1163</v>
      </c>
      <c r="N184">
        <v>110</v>
      </c>
    </row>
    <row r="185" spans="1:14" x14ac:dyDescent="0.3">
      <c r="A185" t="s">
        <v>21</v>
      </c>
      <c r="B185" s="6" t="str">
        <f>HYPERLINK("https://mennonite.britecorepro.com/gateway?file=core.router&amp;method=routeEntity&amp;entity_type=policy&amp;entity_number=11-1 V 05B", "11-1 V 05B")</f>
        <v>11-1 V 05B</v>
      </c>
      <c r="C185" s="6" t="s">
        <v>405</v>
      </c>
      <c r="D185" t="s">
        <v>12</v>
      </c>
      <c r="E185" s="1">
        <v>45656</v>
      </c>
      <c r="F185" s="1">
        <v>46021</v>
      </c>
      <c r="G185">
        <v>550000</v>
      </c>
      <c r="I185">
        <v>275000</v>
      </c>
      <c r="J185">
        <v>500000</v>
      </c>
      <c r="K185" s="2">
        <f t="shared" si="2"/>
        <v>825000</v>
      </c>
      <c r="L185" s="2">
        <v>926</v>
      </c>
      <c r="M185">
        <v>816</v>
      </c>
      <c r="N185">
        <v>110</v>
      </c>
    </row>
    <row r="186" spans="1:14" x14ac:dyDescent="0.3">
      <c r="A186" t="s">
        <v>322</v>
      </c>
      <c r="B186" s="6" t="str">
        <f>HYPERLINK("https://mennonite.britecorepro.com/gateway?file=core.router&amp;method=routeEntity&amp;entity_type=policy&amp;entity_number=11-1 W 31A", "11-1 W 31A")</f>
        <v>11-1 W 31A</v>
      </c>
      <c r="C186" s="6" t="s">
        <v>405</v>
      </c>
      <c r="D186" t="s">
        <v>12</v>
      </c>
      <c r="E186" s="1">
        <v>45585</v>
      </c>
      <c r="F186" s="1">
        <v>45950</v>
      </c>
      <c r="G186">
        <v>1302000</v>
      </c>
      <c r="H186">
        <v>184000</v>
      </c>
      <c r="I186">
        <v>651000</v>
      </c>
      <c r="J186">
        <v>300000</v>
      </c>
      <c r="K186" s="2">
        <f t="shared" si="2"/>
        <v>2137000</v>
      </c>
      <c r="L186" s="2">
        <v>2690</v>
      </c>
      <c r="M186">
        <v>2610</v>
      </c>
      <c r="N186">
        <v>80</v>
      </c>
    </row>
    <row r="187" spans="1:14" x14ac:dyDescent="0.3">
      <c r="A187" t="s">
        <v>243</v>
      </c>
      <c r="B187" s="6" t="str">
        <f>HYPERLINK("https://mennonite.britecorepro.com/gateway?file=core.router&amp;method=routeEntity&amp;entity_type=policy&amp;entity_number=11-2 A 02", "11-2 A 02")</f>
        <v>11-2 A 02</v>
      </c>
      <c r="C187" s="6" t="s">
        <v>405</v>
      </c>
      <c r="D187" t="s">
        <v>12</v>
      </c>
      <c r="E187" s="1">
        <v>45605</v>
      </c>
      <c r="F187" s="1">
        <v>45970</v>
      </c>
      <c r="G187">
        <v>410000</v>
      </c>
      <c r="I187">
        <v>205000</v>
      </c>
      <c r="J187">
        <v>300000</v>
      </c>
      <c r="K187" s="2">
        <f t="shared" si="2"/>
        <v>615000</v>
      </c>
      <c r="L187" s="2">
        <v>1071</v>
      </c>
      <c r="M187">
        <v>991</v>
      </c>
      <c r="N187">
        <v>80</v>
      </c>
    </row>
    <row r="188" spans="1:14" x14ac:dyDescent="0.3">
      <c r="A188" t="s">
        <v>58</v>
      </c>
      <c r="B188" s="6" t="str">
        <f>HYPERLINK("https://mennonite.britecorepro.com/gateway?file=core.router&amp;method=routeEntity&amp;entity_type=policy&amp;entity_number=11-2 A 04", "11-2 A 04")</f>
        <v>11-2 A 04</v>
      </c>
      <c r="C188" s="6" t="s">
        <v>405</v>
      </c>
      <c r="D188" t="s">
        <v>12</v>
      </c>
      <c r="E188" s="1">
        <v>45647</v>
      </c>
      <c r="F188" s="1">
        <v>46012</v>
      </c>
      <c r="G188">
        <v>275000</v>
      </c>
      <c r="I188">
        <v>137500</v>
      </c>
      <c r="J188">
        <v>300000</v>
      </c>
      <c r="K188" s="2">
        <f t="shared" si="2"/>
        <v>412500</v>
      </c>
      <c r="L188" s="2">
        <v>490</v>
      </c>
      <c r="M188">
        <v>410</v>
      </c>
      <c r="N188">
        <v>80</v>
      </c>
    </row>
    <row r="189" spans="1:14" x14ac:dyDescent="0.3">
      <c r="A189" t="s">
        <v>51</v>
      </c>
      <c r="B189" s="6" t="str">
        <f>HYPERLINK("https://mennonite.britecorepro.com/gateway?file=core.router&amp;method=routeEntity&amp;entity_type=policy&amp;entity_number=11-2 A 04A", "11-2 A 04A")</f>
        <v>11-2 A 04A</v>
      </c>
      <c r="C189" s="6" t="s">
        <v>405</v>
      </c>
      <c r="D189" t="s">
        <v>12</v>
      </c>
      <c r="E189" s="1">
        <v>45648</v>
      </c>
      <c r="F189" s="1">
        <v>46013</v>
      </c>
      <c r="G189">
        <v>335000</v>
      </c>
      <c r="H189">
        <v>7000</v>
      </c>
      <c r="I189">
        <v>167500</v>
      </c>
      <c r="J189">
        <v>300000</v>
      </c>
      <c r="K189" s="2">
        <f t="shared" si="2"/>
        <v>509500</v>
      </c>
      <c r="L189" s="2">
        <v>955</v>
      </c>
      <c r="M189">
        <v>875</v>
      </c>
      <c r="N189">
        <v>80</v>
      </c>
    </row>
    <row r="190" spans="1:14" x14ac:dyDescent="0.3">
      <c r="A190" t="s">
        <v>95</v>
      </c>
      <c r="B190" s="6" t="str">
        <f>HYPERLINK("https://mennonite.britecorepro.com/gateway?file=core.router&amp;method=routeEntity&amp;entity_type=policy&amp;entity_number=11-2 A 14", "11-2 A 14")</f>
        <v>11-2 A 14</v>
      </c>
      <c r="C190" s="6" t="s">
        <v>405</v>
      </c>
      <c r="D190" t="s">
        <v>12</v>
      </c>
      <c r="E190" s="1">
        <v>45639</v>
      </c>
      <c r="F190" s="1">
        <v>46004</v>
      </c>
      <c r="G190">
        <v>606000</v>
      </c>
      <c r="I190">
        <v>303000</v>
      </c>
      <c r="J190">
        <v>300000</v>
      </c>
      <c r="K190" s="2">
        <f t="shared" si="2"/>
        <v>909000</v>
      </c>
      <c r="L190" s="2">
        <v>1151</v>
      </c>
      <c r="M190">
        <v>1071</v>
      </c>
      <c r="N190">
        <v>80</v>
      </c>
    </row>
    <row r="191" spans="1:14" x14ac:dyDescent="0.3">
      <c r="A191" t="s">
        <v>260</v>
      </c>
      <c r="B191" s="6" t="str">
        <f>HYPERLINK("https://mennonite.britecorepro.com/gateway?file=core.router&amp;method=routeEntity&amp;entity_type=policy&amp;entity_number=11-2 B 04C", "11-2 B 04C")</f>
        <v>11-2 B 04C</v>
      </c>
      <c r="C191" s="6" t="s">
        <v>405</v>
      </c>
      <c r="D191" t="s">
        <v>12</v>
      </c>
      <c r="E191" s="1">
        <v>45598</v>
      </c>
      <c r="F191" s="1">
        <v>45963</v>
      </c>
      <c r="G191">
        <v>1056000</v>
      </c>
      <c r="I191">
        <v>528000</v>
      </c>
      <c r="J191">
        <v>300000</v>
      </c>
      <c r="K191" s="2">
        <f t="shared" si="2"/>
        <v>1584000</v>
      </c>
      <c r="L191" s="2">
        <v>1487</v>
      </c>
      <c r="M191">
        <v>1407</v>
      </c>
      <c r="N191">
        <v>80</v>
      </c>
    </row>
    <row r="192" spans="1:14" x14ac:dyDescent="0.3">
      <c r="A192" t="s">
        <v>104</v>
      </c>
      <c r="B192" s="6" t="str">
        <f>HYPERLINK("https://mennonite.britecorepro.com/gateway?file=core.router&amp;method=routeEntity&amp;entity_type=policy&amp;entity_number=11-2 B 09B", "11-2 B 09B")</f>
        <v>11-2 B 09B</v>
      </c>
      <c r="C192" s="6" t="s">
        <v>405</v>
      </c>
      <c r="D192" t="s">
        <v>12</v>
      </c>
      <c r="E192" s="1">
        <v>45638</v>
      </c>
      <c r="F192" s="1">
        <v>46003</v>
      </c>
      <c r="G192">
        <v>563000</v>
      </c>
      <c r="I192">
        <v>281500</v>
      </c>
      <c r="J192">
        <v>300000</v>
      </c>
      <c r="K192" s="2">
        <f t="shared" si="2"/>
        <v>844500</v>
      </c>
      <c r="L192" s="2">
        <v>867</v>
      </c>
      <c r="M192">
        <v>787</v>
      </c>
      <c r="N192">
        <v>80</v>
      </c>
    </row>
    <row r="193" spans="1:14" x14ac:dyDescent="0.3">
      <c r="A193" t="s">
        <v>76</v>
      </c>
      <c r="B193" s="6" t="str">
        <f>HYPERLINK("https://mennonite.britecorepro.com/gateway?file=core.router&amp;method=routeEntity&amp;entity_type=policy&amp;entity_number=11-2 B 09C", "11-2 B 09C")</f>
        <v>11-2 B 09C</v>
      </c>
      <c r="C193" s="6" t="s">
        <v>405</v>
      </c>
      <c r="D193" t="s">
        <v>16</v>
      </c>
      <c r="E193" s="1">
        <v>45645</v>
      </c>
      <c r="F193" s="1">
        <v>46010</v>
      </c>
      <c r="G193">
        <v>371000</v>
      </c>
      <c r="I193">
        <v>1000</v>
      </c>
      <c r="J193">
        <v>300000</v>
      </c>
      <c r="K193" s="2">
        <f t="shared" si="2"/>
        <v>372000</v>
      </c>
      <c r="L193" s="2">
        <v>791</v>
      </c>
      <c r="M193">
        <v>761</v>
      </c>
      <c r="N193">
        <v>30</v>
      </c>
    </row>
    <row r="194" spans="1:14" x14ac:dyDescent="0.3">
      <c r="A194" t="s">
        <v>370</v>
      </c>
      <c r="B194" s="6" t="str">
        <f>HYPERLINK("https://mennonite.britecorepro.com/gateway?file=core.router&amp;method=routeEntity&amp;entity_type=policy&amp;entity_number=11-2 B 09D", "11-2 B 09D")</f>
        <v>11-2 B 09D</v>
      </c>
      <c r="C194" s="6" t="s">
        <v>405</v>
      </c>
      <c r="D194" t="s">
        <v>16</v>
      </c>
      <c r="E194" s="1">
        <v>45572</v>
      </c>
      <c r="F194" s="1">
        <v>45937</v>
      </c>
      <c r="G194">
        <v>421000</v>
      </c>
      <c r="I194">
        <v>1000</v>
      </c>
      <c r="J194">
        <v>300000</v>
      </c>
      <c r="K194" s="2">
        <f t="shared" ref="K194:K257" si="3">G194+H194+I194</f>
        <v>422000</v>
      </c>
      <c r="L194" s="2">
        <v>941</v>
      </c>
      <c r="M194">
        <v>911</v>
      </c>
      <c r="N194">
        <v>30</v>
      </c>
    </row>
    <row r="195" spans="1:14" x14ac:dyDescent="0.3">
      <c r="A195" t="s">
        <v>362</v>
      </c>
      <c r="B195" s="6" t="str">
        <f>HYPERLINK("https://mennonite.britecorepro.com/gateway?file=core.router&amp;method=routeEntity&amp;entity_type=policy&amp;entity_number=11-2 B 23A", "11-2 B 23A")</f>
        <v>11-2 B 23A</v>
      </c>
      <c r="C195" s="6" t="s">
        <v>405</v>
      </c>
      <c r="D195" t="s">
        <v>12</v>
      </c>
      <c r="E195" s="1">
        <v>45575</v>
      </c>
      <c r="F195" s="1">
        <v>45940</v>
      </c>
      <c r="G195">
        <v>504000</v>
      </c>
      <c r="I195">
        <v>252000</v>
      </c>
      <c r="J195">
        <v>300000</v>
      </c>
      <c r="K195" s="2">
        <f t="shared" si="3"/>
        <v>756000</v>
      </c>
      <c r="L195" s="2">
        <v>932</v>
      </c>
      <c r="M195">
        <v>852</v>
      </c>
      <c r="N195">
        <v>80</v>
      </c>
    </row>
    <row r="196" spans="1:14" x14ac:dyDescent="0.3">
      <c r="A196" t="s">
        <v>14</v>
      </c>
      <c r="B196" s="6" t="str">
        <f>HYPERLINK("https://mennonite.britecorepro.com/gateway?file=core.router&amp;method=routeEntity&amp;entity_type=policy&amp;entity_number=11-2 C 03A", "11-2 C 03A")</f>
        <v>11-2 C 03A</v>
      </c>
      <c r="C196" s="6" t="s">
        <v>405</v>
      </c>
      <c r="D196" t="s">
        <v>12</v>
      </c>
      <c r="E196" s="1">
        <v>45657</v>
      </c>
      <c r="F196" s="1">
        <v>46022</v>
      </c>
      <c r="G196">
        <v>586000</v>
      </c>
      <c r="I196">
        <v>293000</v>
      </c>
      <c r="K196" s="2">
        <f t="shared" si="3"/>
        <v>879000</v>
      </c>
      <c r="L196" s="2">
        <v>1459</v>
      </c>
      <c r="M196">
        <v>1459</v>
      </c>
    </row>
    <row r="197" spans="1:14" x14ac:dyDescent="0.3">
      <c r="A197" t="s">
        <v>188</v>
      </c>
      <c r="B197" s="6" t="str">
        <f>HYPERLINK("https://mennonite.britecorepro.com/gateway?file=core.router&amp;method=routeEntity&amp;entity_type=policy&amp;entity_number=11-2 D 18D", "11-2 D 18D")</f>
        <v>11-2 D 18D</v>
      </c>
      <c r="C197" s="6" t="s">
        <v>405</v>
      </c>
      <c r="D197" t="s">
        <v>12</v>
      </c>
      <c r="E197" s="1">
        <v>45617</v>
      </c>
      <c r="F197" s="1">
        <v>45982</v>
      </c>
      <c r="G197">
        <v>722000</v>
      </c>
      <c r="I197">
        <v>361000</v>
      </c>
      <c r="J197">
        <v>500000</v>
      </c>
      <c r="K197" s="2">
        <f t="shared" si="3"/>
        <v>1083000</v>
      </c>
      <c r="L197" s="2">
        <v>1004</v>
      </c>
      <c r="M197">
        <v>894</v>
      </c>
      <c r="N197">
        <v>110</v>
      </c>
    </row>
    <row r="198" spans="1:14" x14ac:dyDescent="0.3">
      <c r="A198" t="s">
        <v>110</v>
      </c>
      <c r="B198" s="6" t="str">
        <f>HYPERLINK("https://mennonite.britecorepro.com/gateway?file=core.router&amp;method=routeEntity&amp;entity_type=policy&amp;entity_number=11-2 D 20", "11-2 D 20")</f>
        <v>11-2 D 20</v>
      </c>
      <c r="C198" s="6" t="s">
        <v>405</v>
      </c>
      <c r="D198" t="s">
        <v>12</v>
      </c>
      <c r="E198" s="1">
        <v>45637</v>
      </c>
      <c r="F198" s="1">
        <v>46002</v>
      </c>
      <c r="G198">
        <v>579000</v>
      </c>
      <c r="I198">
        <v>289500</v>
      </c>
      <c r="J198">
        <v>300000</v>
      </c>
      <c r="K198" s="2">
        <f t="shared" si="3"/>
        <v>868500</v>
      </c>
      <c r="L198" s="2">
        <v>1304</v>
      </c>
      <c r="M198">
        <v>1224</v>
      </c>
      <c r="N198">
        <v>80</v>
      </c>
    </row>
    <row r="199" spans="1:14" x14ac:dyDescent="0.3">
      <c r="A199" t="s">
        <v>35</v>
      </c>
      <c r="B199" s="6" t="str">
        <f>HYPERLINK("https://mennonite.britecorepro.com/gateway?file=core.router&amp;method=routeEntity&amp;entity_type=policy&amp;entity_number=11-2 D 21A", "11-2 D 21A")</f>
        <v>11-2 D 21A</v>
      </c>
      <c r="C199" s="6" t="s">
        <v>405</v>
      </c>
      <c r="D199" t="s">
        <v>12</v>
      </c>
      <c r="E199" s="1">
        <v>45653</v>
      </c>
      <c r="F199" s="1">
        <v>46018</v>
      </c>
      <c r="G199">
        <v>685000</v>
      </c>
      <c r="I199">
        <v>342500</v>
      </c>
      <c r="J199">
        <v>300000</v>
      </c>
      <c r="K199" s="2">
        <f t="shared" si="3"/>
        <v>1027500</v>
      </c>
      <c r="L199" s="2">
        <v>994</v>
      </c>
      <c r="M199">
        <v>914</v>
      </c>
      <c r="N199">
        <v>80</v>
      </c>
    </row>
    <row r="200" spans="1:14" x14ac:dyDescent="0.3">
      <c r="A200" t="s">
        <v>394</v>
      </c>
      <c r="B200" s="6" t="str">
        <f>HYPERLINK("https://mennonite.britecorepro.com/gateway?file=core.router&amp;method=routeEntity&amp;entity_type=policy&amp;entity_number=11-2 E 07B", "11-2 E 07B")</f>
        <v>11-2 E 07B</v>
      </c>
      <c r="C200" s="6" t="s">
        <v>405</v>
      </c>
      <c r="D200" t="s">
        <v>12</v>
      </c>
      <c r="E200" s="1">
        <v>45566</v>
      </c>
      <c r="F200" s="1">
        <v>45931</v>
      </c>
      <c r="G200">
        <v>573000</v>
      </c>
      <c r="I200">
        <v>286500</v>
      </c>
      <c r="K200" s="2">
        <f t="shared" si="3"/>
        <v>859500</v>
      </c>
      <c r="L200" s="2">
        <v>1110</v>
      </c>
      <c r="M200">
        <v>1110</v>
      </c>
    </row>
    <row r="201" spans="1:14" x14ac:dyDescent="0.3">
      <c r="A201" t="s">
        <v>389</v>
      </c>
      <c r="B201" s="6" t="str">
        <f>HYPERLINK("https://mennonite.britecorepro.com/gateway?file=core.router&amp;method=routeEntity&amp;entity_type=policy&amp;entity_number=11-2 E 10", "11-2 E 10")</f>
        <v>11-2 E 10</v>
      </c>
      <c r="C201" s="6" t="s">
        <v>405</v>
      </c>
      <c r="D201" t="s">
        <v>12</v>
      </c>
      <c r="E201" s="1">
        <v>45567</v>
      </c>
      <c r="F201" s="1">
        <v>45932</v>
      </c>
      <c r="G201">
        <v>466000</v>
      </c>
      <c r="I201">
        <v>233000</v>
      </c>
      <c r="K201" s="2">
        <f t="shared" si="3"/>
        <v>699000</v>
      </c>
      <c r="L201" s="2">
        <v>1055</v>
      </c>
      <c r="M201">
        <v>1055</v>
      </c>
    </row>
    <row r="202" spans="1:14" x14ac:dyDescent="0.3">
      <c r="A202" t="s">
        <v>291</v>
      </c>
      <c r="B202" s="6" t="str">
        <f>HYPERLINK("https://mennonite.britecorepro.com/gateway?file=core.router&amp;method=routeEntity&amp;entity_type=policy&amp;entity_number=11-2 G 25A", "11-2 G 25A")</f>
        <v>11-2 G 25A</v>
      </c>
      <c r="C202" s="6" t="s">
        <v>405</v>
      </c>
      <c r="D202" t="s">
        <v>12</v>
      </c>
      <c r="E202" s="1">
        <v>45593</v>
      </c>
      <c r="F202" s="1">
        <v>45958</v>
      </c>
      <c r="G202">
        <v>998000</v>
      </c>
      <c r="I202">
        <v>499000</v>
      </c>
      <c r="J202">
        <v>300000</v>
      </c>
      <c r="K202" s="2">
        <f t="shared" si="3"/>
        <v>1497000</v>
      </c>
      <c r="L202" s="2">
        <v>1768</v>
      </c>
      <c r="M202">
        <v>1688</v>
      </c>
      <c r="N202">
        <v>80</v>
      </c>
    </row>
    <row r="203" spans="1:14" x14ac:dyDescent="0.3">
      <c r="A203" t="s">
        <v>245</v>
      </c>
      <c r="B203" s="6" t="str">
        <f>HYPERLINK("https://mennonite.britecorepro.com/gateway?file=core.router&amp;method=routeEntity&amp;entity_type=policy&amp;entity_number=11-2 G 29", "11-2 G 29")</f>
        <v>11-2 G 29</v>
      </c>
      <c r="C203" s="6" t="s">
        <v>405</v>
      </c>
      <c r="D203" t="s">
        <v>12</v>
      </c>
      <c r="E203" s="1">
        <v>45604</v>
      </c>
      <c r="F203" s="1">
        <v>45969</v>
      </c>
      <c r="G203">
        <v>400000</v>
      </c>
      <c r="I203">
        <v>200000</v>
      </c>
      <c r="J203">
        <v>300000</v>
      </c>
      <c r="K203" s="2">
        <f t="shared" si="3"/>
        <v>600000</v>
      </c>
      <c r="L203" s="2">
        <v>1017</v>
      </c>
      <c r="M203">
        <v>937</v>
      </c>
      <c r="N203">
        <v>80</v>
      </c>
    </row>
    <row r="204" spans="1:14" x14ac:dyDescent="0.3">
      <c r="A204" t="s">
        <v>296</v>
      </c>
      <c r="B204" s="6" t="str">
        <f>HYPERLINK("https://mennonite.britecorepro.com/gateway?file=core.router&amp;method=routeEntity&amp;entity_type=policy&amp;entity_number=11-2 G 39", "11-2 G 39")</f>
        <v>11-2 G 39</v>
      </c>
      <c r="C204" s="6" t="s">
        <v>405</v>
      </c>
      <c r="D204" t="s">
        <v>12</v>
      </c>
      <c r="E204" s="1">
        <v>45592</v>
      </c>
      <c r="F204" s="1">
        <v>45957</v>
      </c>
      <c r="G204">
        <v>495000</v>
      </c>
      <c r="I204">
        <v>247500</v>
      </c>
      <c r="J204">
        <v>500000</v>
      </c>
      <c r="K204" s="2">
        <f t="shared" si="3"/>
        <v>742500</v>
      </c>
      <c r="L204" s="2">
        <v>844</v>
      </c>
      <c r="M204">
        <v>734</v>
      </c>
      <c r="N204">
        <v>110</v>
      </c>
    </row>
    <row r="205" spans="1:14" x14ac:dyDescent="0.3">
      <c r="A205" t="s">
        <v>59</v>
      </c>
      <c r="B205" s="6" t="str">
        <f>HYPERLINK("https://mennonite.britecorepro.com/gateway?file=core.router&amp;method=routeEntity&amp;entity_type=policy&amp;entity_number=11-2 G 42", "11-2 G 42")</f>
        <v>11-2 G 42</v>
      </c>
      <c r="C205" s="6" t="s">
        <v>405</v>
      </c>
      <c r="D205" t="s">
        <v>12</v>
      </c>
      <c r="E205" s="1">
        <v>45647</v>
      </c>
      <c r="F205" s="1">
        <v>46012</v>
      </c>
      <c r="G205">
        <v>481000</v>
      </c>
      <c r="I205">
        <v>240500</v>
      </c>
      <c r="J205">
        <v>500000</v>
      </c>
      <c r="K205" s="2">
        <f t="shared" si="3"/>
        <v>721500</v>
      </c>
      <c r="L205" s="2">
        <v>645</v>
      </c>
      <c r="M205">
        <v>535</v>
      </c>
      <c r="N205">
        <v>110</v>
      </c>
    </row>
    <row r="206" spans="1:14" x14ac:dyDescent="0.3">
      <c r="A206" t="s">
        <v>216</v>
      </c>
      <c r="B206" s="6" t="str">
        <f>HYPERLINK("https://mennonite.britecorepro.com/gateway?file=core.router&amp;method=routeEntity&amp;entity_type=policy&amp;entity_number=11-2 H 05", "11-2 H 05")</f>
        <v>11-2 H 05</v>
      </c>
      <c r="C206" s="6" t="s">
        <v>405</v>
      </c>
      <c r="D206" t="s">
        <v>28</v>
      </c>
      <c r="E206" s="1">
        <v>45611</v>
      </c>
      <c r="F206" s="1">
        <v>45976</v>
      </c>
      <c r="I206">
        <v>100000</v>
      </c>
      <c r="J206">
        <v>300000</v>
      </c>
      <c r="K206" s="2">
        <f t="shared" si="3"/>
        <v>100000</v>
      </c>
      <c r="L206" s="2">
        <v>321</v>
      </c>
      <c r="M206">
        <v>241</v>
      </c>
      <c r="N206">
        <v>80</v>
      </c>
    </row>
    <row r="207" spans="1:14" x14ac:dyDescent="0.3">
      <c r="A207" t="s">
        <v>339</v>
      </c>
      <c r="B207" s="6" t="str">
        <f>HYPERLINK("https://mennonite.britecorepro.com/gateway?file=core.router&amp;method=routeEntity&amp;entity_type=policy&amp;entity_number=11-2 H 05A", "11-2 H 05A")</f>
        <v>11-2 H 05A</v>
      </c>
      <c r="C207" s="6" t="s">
        <v>405</v>
      </c>
      <c r="D207" t="s">
        <v>12</v>
      </c>
      <c r="E207" s="1">
        <v>45581</v>
      </c>
      <c r="F207" s="1">
        <v>45946</v>
      </c>
      <c r="G207">
        <v>1528000</v>
      </c>
      <c r="I207">
        <v>764000</v>
      </c>
      <c r="J207">
        <v>500000</v>
      </c>
      <c r="K207" s="2">
        <f t="shared" si="3"/>
        <v>2292000</v>
      </c>
      <c r="L207" s="2">
        <v>1735</v>
      </c>
      <c r="M207">
        <v>1625</v>
      </c>
      <c r="N207">
        <v>110</v>
      </c>
    </row>
    <row r="208" spans="1:14" x14ac:dyDescent="0.3">
      <c r="A208" t="s">
        <v>281</v>
      </c>
      <c r="B208" s="6" t="str">
        <f>HYPERLINK("https://mennonite.britecorepro.com/gateway?file=core.router&amp;method=routeEntity&amp;entity_type=policy&amp;entity_number=11-2 H 09A", "11-2 H 09A")</f>
        <v>11-2 H 09A</v>
      </c>
      <c r="C208" s="6" t="s">
        <v>405</v>
      </c>
      <c r="D208" t="s">
        <v>66</v>
      </c>
      <c r="E208" s="1">
        <v>45595</v>
      </c>
      <c r="F208" s="1">
        <v>45960</v>
      </c>
      <c r="G208">
        <v>175000</v>
      </c>
      <c r="I208">
        <v>52500</v>
      </c>
      <c r="J208">
        <v>300000</v>
      </c>
      <c r="K208" s="2">
        <f t="shared" si="3"/>
        <v>227500</v>
      </c>
      <c r="L208" s="2">
        <v>1270</v>
      </c>
      <c r="M208">
        <v>1250</v>
      </c>
      <c r="N208">
        <v>20</v>
      </c>
    </row>
    <row r="209" spans="1:14" x14ac:dyDescent="0.3">
      <c r="A209" t="s">
        <v>96</v>
      </c>
      <c r="B209" s="6" t="str">
        <f>HYPERLINK("https://mennonite.britecorepro.com/gateway?file=core.router&amp;method=routeEntity&amp;entity_type=policy&amp;entity_number=11-2 H 12B", "11-2 H 12B")</f>
        <v>11-2 H 12B</v>
      </c>
      <c r="C209" s="6" t="s">
        <v>405</v>
      </c>
      <c r="D209" t="s">
        <v>12</v>
      </c>
      <c r="E209" s="1">
        <v>45639</v>
      </c>
      <c r="F209" s="1">
        <v>46004</v>
      </c>
      <c r="G209">
        <v>572000</v>
      </c>
      <c r="I209">
        <v>286000</v>
      </c>
      <c r="J209">
        <v>300000</v>
      </c>
      <c r="K209" s="2">
        <f t="shared" si="3"/>
        <v>858000</v>
      </c>
      <c r="L209" s="2">
        <v>844</v>
      </c>
      <c r="M209">
        <v>764</v>
      </c>
      <c r="N209">
        <v>80</v>
      </c>
    </row>
    <row r="210" spans="1:14" x14ac:dyDescent="0.3">
      <c r="A210" t="s">
        <v>105</v>
      </c>
      <c r="B210" s="6" t="str">
        <f>HYPERLINK("https://mennonite.britecorepro.com/gateway?file=core.router&amp;method=routeEntity&amp;entity_type=policy&amp;entity_number=11-2 I 15", "11-2 I 15")</f>
        <v>11-2 I 15</v>
      </c>
      <c r="C210" s="6" t="s">
        <v>405</v>
      </c>
      <c r="D210" t="s">
        <v>12</v>
      </c>
      <c r="E210" s="1">
        <v>45638</v>
      </c>
      <c r="F210" s="1">
        <v>46003</v>
      </c>
      <c r="G210">
        <v>587000</v>
      </c>
      <c r="I210">
        <v>293500</v>
      </c>
      <c r="J210">
        <v>300000</v>
      </c>
      <c r="K210" s="2">
        <f t="shared" si="3"/>
        <v>880500</v>
      </c>
      <c r="L210" s="2">
        <v>1186</v>
      </c>
      <c r="M210">
        <v>1106</v>
      </c>
      <c r="N210">
        <v>80</v>
      </c>
    </row>
    <row r="211" spans="1:14" x14ac:dyDescent="0.3">
      <c r="A211" t="s">
        <v>367</v>
      </c>
      <c r="B211" s="6" t="str">
        <f>HYPERLINK("https://mennonite.britecorepro.com/gateway?file=core.router&amp;method=routeEntity&amp;entity_type=policy&amp;entity_number=11-2 J 02C", "11-2 J 02C")</f>
        <v>11-2 J 02C</v>
      </c>
      <c r="C211" s="6" t="s">
        <v>405</v>
      </c>
      <c r="D211" t="s">
        <v>12</v>
      </c>
      <c r="E211" s="1">
        <v>45573</v>
      </c>
      <c r="F211" s="1">
        <v>45938</v>
      </c>
      <c r="G211">
        <v>1048000</v>
      </c>
      <c r="I211">
        <v>524000</v>
      </c>
      <c r="J211">
        <v>500000</v>
      </c>
      <c r="K211" s="2">
        <f t="shared" si="3"/>
        <v>1572000</v>
      </c>
      <c r="L211" s="2">
        <v>5088</v>
      </c>
      <c r="M211">
        <v>4978</v>
      </c>
      <c r="N211">
        <v>110</v>
      </c>
    </row>
    <row r="212" spans="1:14" x14ac:dyDescent="0.3">
      <c r="A212" t="s">
        <v>65</v>
      </c>
      <c r="B212" s="6" t="str">
        <f>HYPERLINK("https://mennonite.britecorepro.com/gateway?file=core.router&amp;method=routeEntity&amp;entity_type=policy&amp;entity_number=11-2 J 02D", "11-2 J 02D")</f>
        <v>11-2 J 02D</v>
      </c>
      <c r="C212" s="6" t="s">
        <v>405</v>
      </c>
      <c r="D212" t="s">
        <v>66</v>
      </c>
      <c r="E212" s="1">
        <v>45646</v>
      </c>
      <c r="F212" s="1">
        <v>46011</v>
      </c>
      <c r="G212">
        <v>60900</v>
      </c>
      <c r="I212">
        <v>18300</v>
      </c>
      <c r="J212">
        <v>500000</v>
      </c>
      <c r="K212" s="2">
        <f t="shared" si="3"/>
        <v>79200</v>
      </c>
      <c r="L212" s="2">
        <v>360</v>
      </c>
      <c r="M212">
        <v>330</v>
      </c>
      <c r="N212">
        <v>30</v>
      </c>
    </row>
    <row r="213" spans="1:14" x14ac:dyDescent="0.3">
      <c r="A213" t="s">
        <v>267</v>
      </c>
      <c r="B213" s="6" t="str">
        <f>HYPERLINK("https://mennonite.britecorepro.com/gateway?file=core.router&amp;method=routeEntity&amp;entity_type=policy&amp;entity_number=11-2 J 25A", "11-2 J 25A")</f>
        <v>11-2 J 25A</v>
      </c>
      <c r="C213" s="6" t="s">
        <v>405</v>
      </c>
      <c r="D213" t="s">
        <v>12</v>
      </c>
      <c r="E213" s="1">
        <v>45597</v>
      </c>
      <c r="F213" s="1">
        <v>45962</v>
      </c>
      <c r="G213">
        <v>835000</v>
      </c>
      <c r="H213">
        <v>191000</v>
      </c>
      <c r="I213">
        <v>417500</v>
      </c>
      <c r="J213">
        <v>500000</v>
      </c>
      <c r="K213" s="2">
        <f t="shared" si="3"/>
        <v>1443500</v>
      </c>
      <c r="L213" s="2">
        <v>2109</v>
      </c>
      <c r="M213">
        <v>1999</v>
      </c>
      <c r="N213">
        <v>110</v>
      </c>
    </row>
    <row r="214" spans="1:14" x14ac:dyDescent="0.3">
      <c r="A214" t="s">
        <v>60</v>
      </c>
      <c r="B214" s="6" t="str">
        <f>HYPERLINK("https://mennonite.britecorepro.com/gateway?file=core.router&amp;method=routeEntity&amp;entity_type=policy&amp;entity_number=11-2 K 21E", "11-2 K 21E")</f>
        <v>11-2 K 21E</v>
      </c>
      <c r="C214" s="6" t="s">
        <v>405</v>
      </c>
      <c r="D214" t="s">
        <v>12</v>
      </c>
      <c r="E214" s="1">
        <v>45647</v>
      </c>
      <c r="F214" s="1">
        <v>46012</v>
      </c>
      <c r="G214">
        <v>959000</v>
      </c>
      <c r="I214">
        <v>479500</v>
      </c>
      <c r="J214">
        <v>300000</v>
      </c>
      <c r="K214" s="2">
        <f t="shared" si="3"/>
        <v>1438500</v>
      </c>
      <c r="L214" s="2">
        <v>1059</v>
      </c>
      <c r="M214">
        <v>979</v>
      </c>
      <c r="N214">
        <v>80</v>
      </c>
    </row>
    <row r="215" spans="1:14" x14ac:dyDescent="0.3">
      <c r="A215" t="s">
        <v>80</v>
      </c>
      <c r="B215" s="6" t="str">
        <f>HYPERLINK("https://mennonite.britecorepro.com/gateway?file=core.router&amp;method=routeEntity&amp;entity_type=policy&amp;entity_number=11-2 K 24", "11-2 K 24")</f>
        <v>11-2 K 24</v>
      </c>
      <c r="C215" s="6" t="s">
        <v>405</v>
      </c>
      <c r="D215" t="s">
        <v>12</v>
      </c>
      <c r="E215" s="1">
        <v>45644</v>
      </c>
      <c r="F215" s="1">
        <v>46009</v>
      </c>
      <c r="G215">
        <v>544000</v>
      </c>
      <c r="I215">
        <v>272000</v>
      </c>
      <c r="J215">
        <v>300000</v>
      </c>
      <c r="K215" s="2">
        <f t="shared" si="3"/>
        <v>816000</v>
      </c>
      <c r="L215" s="2">
        <v>1297</v>
      </c>
      <c r="M215">
        <v>1217</v>
      </c>
      <c r="N215">
        <v>80</v>
      </c>
    </row>
    <row r="216" spans="1:14" x14ac:dyDescent="0.3">
      <c r="A216" t="s">
        <v>33</v>
      </c>
      <c r="B216" s="6" t="str">
        <f>HYPERLINK("https://mennonite.britecorepro.com/gateway?file=core.router&amp;method=routeEntity&amp;entity_type=policy&amp;entity_number=11-2 K 25", "11-2 K 25")</f>
        <v>11-2 K 25</v>
      </c>
      <c r="C216" s="6" t="s">
        <v>405</v>
      </c>
      <c r="D216" t="s">
        <v>12</v>
      </c>
      <c r="E216" s="1">
        <v>45654</v>
      </c>
      <c r="F216" s="1">
        <v>46019</v>
      </c>
      <c r="G216">
        <v>287000</v>
      </c>
      <c r="H216">
        <v>27000</v>
      </c>
      <c r="I216">
        <v>143500</v>
      </c>
      <c r="J216">
        <v>500000</v>
      </c>
      <c r="K216" s="2">
        <f t="shared" si="3"/>
        <v>457500</v>
      </c>
      <c r="L216" s="2">
        <v>1025</v>
      </c>
      <c r="M216">
        <v>915</v>
      </c>
      <c r="N216">
        <v>110</v>
      </c>
    </row>
    <row r="217" spans="1:14" x14ac:dyDescent="0.3">
      <c r="A217" t="s">
        <v>39</v>
      </c>
      <c r="B217" s="6" t="str">
        <f>HYPERLINK("https://mennonite.britecorepro.com/gateway?file=core.router&amp;method=routeEntity&amp;entity_type=policy&amp;entity_number=11-2 K 35E", "11-2 K 35E")</f>
        <v>11-2 K 35E</v>
      </c>
      <c r="C217" s="6" t="s">
        <v>405</v>
      </c>
      <c r="D217" t="s">
        <v>12</v>
      </c>
      <c r="E217" s="1">
        <v>45652</v>
      </c>
      <c r="F217" s="1">
        <v>46017</v>
      </c>
      <c r="G217">
        <v>1132000</v>
      </c>
      <c r="I217">
        <v>566000</v>
      </c>
      <c r="J217">
        <v>500000</v>
      </c>
      <c r="K217" s="2">
        <f t="shared" si="3"/>
        <v>1698000</v>
      </c>
      <c r="L217" s="2">
        <v>1112</v>
      </c>
      <c r="M217">
        <v>1002</v>
      </c>
      <c r="N217">
        <v>110</v>
      </c>
    </row>
    <row r="218" spans="1:14" x14ac:dyDescent="0.3">
      <c r="A218" t="s">
        <v>22</v>
      </c>
      <c r="B218" s="6" t="str">
        <f>HYPERLINK("https://mennonite.britecorepro.com/gateway?file=core.router&amp;method=routeEntity&amp;entity_type=policy&amp;entity_number=11-2 L 19", "11-2 L 19")</f>
        <v>11-2 L 19</v>
      </c>
      <c r="C218" s="6" t="s">
        <v>405</v>
      </c>
      <c r="D218" t="s">
        <v>12</v>
      </c>
      <c r="E218" s="1">
        <v>45656</v>
      </c>
      <c r="F218" s="1">
        <v>46021</v>
      </c>
      <c r="G218">
        <v>350000</v>
      </c>
      <c r="I218">
        <v>175000</v>
      </c>
      <c r="J218">
        <v>300000</v>
      </c>
      <c r="K218" s="2">
        <f t="shared" si="3"/>
        <v>525000</v>
      </c>
      <c r="L218" s="2">
        <v>883</v>
      </c>
      <c r="M218">
        <v>803</v>
      </c>
      <c r="N218">
        <v>80</v>
      </c>
    </row>
    <row r="219" spans="1:14" x14ac:dyDescent="0.3">
      <c r="A219" t="s">
        <v>316</v>
      </c>
      <c r="B219" s="6" t="str">
        <f>HYPERLINK("https://mennonite.britecorepro.com/gateway?file=core.router&amp;method=routeEntity&amp;entity_type=policy&amp;entity_number=11-2 M 27B", "11-2 M 27B")</f>
        <v>11-2 M 27B</v>
      </c>
      <c r="C219" s="6" t="s">
        <v>405</v>
      </c>
      <c r="D219" t="s">
        <v>16</v>
      </c>
      <c r="E219" s="1">
        <v>45586</v>
      </c>
      <c r="F219" s="1">
        <v>45951</v>
      </c>
      <c r="G219">
        <v>482000</v>
      </c>
      <c r="I219">
        <v>1000</v>
      </c>
      <c r="J219">
        <v>300000</v>
      </c>
      <c r="K219" s="2">
        <f t="shared" si="3"/>
        <v>483000</v>
      </c>
      <c r="L219" s="2">
        <v>1069</v>
      </c>
      <c r="M219">
        <v>1039</v>
      </c>
      <c r="N219">
        <v>30</v>
      </c>
    </row>
    <row r="220" spans="1:14" x14ac:dyDescent="0.3">
      <c r="A220" t="s">
        <v>292</v>
      </c>
      <c r="B220" s="6" t="str">
        <f>HYPERLINK("https://mennonite.britecorepro.com/gateway?file=core.router&amp;method=routeEntity&amp;entity_type=policy&amp;entity_number=11-2 M 27C", "11-2 M 27C")</f>
        <v>11-2 M 27C</v>
      </c>
      <c r="C220" s="6" t="s">
        <v>405</v>
      </c>
      <c r="D220" t="s">
        <v>12</v>
      </c>
      <c r="E220" s="1">
        <v>45593</v>
      </c>
      <c r="F220" s="1">
        <v>45958</v>
      </c>
      <c r="G220">
        <v>750000</v>
      </c>
      <c r="I220">
        <v>375000</v>
      </c>
      <c r="J220">
        <v>300000</v>
      </c>
      <c r="K220" s="2">
        <f t="shared" si="3"/>
        <v>1125000</v>
      </c>
      <c r="L220" s="2">
        <v>1148</v>
      </c>
      <c r="M220">
        <v>1068</v>
      </c>
      <c r="N220">
        <v>80</v>
      </c>
    </row>
    <row r="221" spans="1:14" x14ac:dyDescent="0.3">
      <c r="A221" t="s">
        <v>166</v>
      </c>
      <c r="B221" s="6" t="str">
        <f>HYPERLINK("https://mennonite.britecorepro.com/gateway?file=core.router&amp;method=routeEntity&amp;entity_type=policy&amp;entity_number=11-2 N 03", "11-2 N 03")</f>
        <v>11-2 N 03</v>
      </c>
      <c r="C221" s="6" t="s">
        <v>405</v>
      </c>
      <c r="D221" t="s">
        <v>12</v>
      </c>
      <c r="E221" s="1">
        <v>45622</v>
      </c>
      <c r="F221" s="1">
        <v>45987</v>
      </c>
      <c r="G221">
        <v>445000</v>
      </c>
      <c r="I221">
        <v>222500</v>
      </c>
      <c r="J221">
        <v>300000</v>
      </c>
      <c r="K221" s="2">
        <f t="shared" si="3"/>
        <v>667500</v>
      </c>
      <c r="L221" s="2">
        <v>1009</v>
      </c>
      <c r="M221">
        <v>929</v>
      </c>
      <c r="N221">
        <v>80</v>
      </c>
    </row>
    <row r="222" spans="1:14" x14ac:dyDescent="0.3">
      <c r="A222" t="s">
        <v>261</v>
      </c>
      <c r="B222" s="6" t="str">
        <f>HYPERLINK("https://mennonite.britecorepro.com/gateway?file=core.router&amp;method=routeEntity&amp;entity_type=policy&amp;entity_number=11-2 P 30B", "11-2 P 30B")</f>
        <v>11-2 P 30B</v>
      </c>
      <c r="C222" s="6" t="s">
        <v>405</v>
      </c>
      <c r="D222" t="s">
        <v>12</v>
      </c>
      <c r="E222" s="1">
        <v>45598</v>
      </c>
      <c r="F222" s="1">
        <v>45963</v>
      </c>
      <c r="G222">
        <v>1425000</v>
      </c>
      <c r="I222">
        <v>712500</v>
      </c>
      <c r="J222">
        <v>300000</v>
      </c>
      <c r="K222" s="2">
        <f t="shared" si="3"/>
        <v>2137500</v>
      </c>
      <c r="L222" s="2">
        <v>1477</v>
      </c>
      <c r="M222">
        <v>1397</v>
      </c>
      <c r="N222">
        <v>80</v>
      </c>
    </row>
    <row r="223" spans="1:14" x14ac:dyDescent="0.3">
      <c r="A223" t="s">
        <v>395</v>
      </c>
      <c r="B223" s="6" t="str">
        <f>HYPERLINK("https://mennonite.britecorepro.com/gateway?file=core.router&amp;method=routeEntity&amp;entity_type=policy&amp;entity_number=11-2 R 09C", "11-2 R 09C")</f>
        <v>11-2 R 09C</v>
      </c>
      <c r="C223" s="6" t="s">
        <v>405</v>
      </c>
      <c r="D223" t="s">
        <v>16</v>
      </c>
      <c r="E223" s="1">
        <v>45566</v>
      </c>
      <c r="F223" s="1">
        <v>45931</v>
      </c>
      <c r="G223">
        <v>450000</v>
      </c>
      <c r="I223">
        <v>1000</v>
      </c>
      <c r="J223">
        <v>500000</v>
      </c>
      <c r="K223" s="2">
        <f t="shared" si="3"/>
        <v>451000</v>
      </c>
      <c r="L223" s="2">
        <v>990</v>
      </c>
      <c r="M223">
        <v>950</v>
      </c>
      <c r="N223">
        <v>40</v>
      </c>
    </row>
    <row r="224" spans="1:14" x14ac:dyDescent="0.3">
      <c r="A224" t="s">
        <v>61</v>
      </c>
      <c r="B224" s="6" t="str">
        <f>HYPERLINK("https://mennonite.britecorepro.com/gateway?file=core.router&amp;method=routeEntity&amp;entity_type=policy&amp;entity_number=11-2 R 17E", "11-2 R 17E")</f>
        <v>11-2 R 17E</v>
      </c>
      <c r="C224" s="6" t="s">
        <v>405</v>
      </c>
      <c r="D224" t="s">
        <v>12</v>
      </c>
      <c r="E224" s="1">
        <v>45647</v>
      </c>
      <c r="F224" s="1">
        <v>46012</v>
      </c>
      <c r="G224">
        <v>269000</v>
      </c>
      <c r="I224">
        <v>134500</v>
      </c>
      <c r="J224">
        <v>300000</v>
      </c>
      <c r="K224" s="2">
        <f t="shared" si="3"/>
        <v>403500</v>
      </c>
      <c r="L224" s="2">
        <v>682</v>
      </c>
      <c r="M224">
        <v>602</v>
      </c>
      <c r="N224">
        <v>80</v>
      </c>
    </row>
    <row r="225" spans="1:14" x14ac:dyDescent="0.3">
      <c r="A225" t="s">
        <v>348</v>
      </c>
      <c r="B225" s="6" t="str">
        <f>HYPERLINK("https://mennonite.britecorepro.com/gateway?file=core.router&amp;method=routeEntity&amp;entity_type=policy&amp;entity_number=11-2 S 05B", "11-2 S 05B")</f>
        <v>11-2 S 05B</v>
      </c>
      <c r="C225" s="6" t="s">
        <v>405</v>
      </c>
      <c r="D225" t="s">
        <v>12</v>
      </c>
      <c r="E225" s="1">
        <v>45578</v>
      </c>
      <c r="F225" s="1">
        <v>45943</v>
      </c>
      <c r="G225">
        <v>1074000</v>
      </c>
      <c r="I225">
        <v>537000</v>
      </c>
      <c r="J225">
        <v>300000</v>
      </c>
      <c r="K225" s="2">
        <f t="shared" si="3"/>
        <v>1611000</v>
      </c>
      <c r="L225" s="2">
        <v>2082</v>
      </c>
      <c r="M225">
        <v>2002</v>
      </c>
      <c r="N225">
        <v>80</v>
      </c>
    </row>
    <row r="226" spans="1:14" x14ac:dyDescent="0.3">
      <c r="A226" t="s">
        <v>293</v>
      </c>
      <c r="B226" s="6" t="str">
        <f>HYPERLINK("https://mennonite.britecorepro.com/gateway?file=core.router&amp;method=routeEntity&amp;entity_type=policy&amp;entity_number=11-2 S 11C", "11-2 S 11C")</f>
        <v>11-2 S 11C</v>
      </c>
      <c r="C226" s="6" t="s">
        <v>405</v>
      </c>
      <c r="D226" t="s">
        <v>12</v>
      </c>
      <c r="E226" s="1">
        <v>45593</v>
      </c>
      <c r="F226" s="1">
        <v>45958</v>
      </c>
      <c r="G226">
        <v>730000</v>
      </c>
      <c r="I226">
        <v>365000</v>
      </c>
      <c r="J226">
        <v>500000</v>
      </c>
      <c r="K226" s="2">
        <f t="shared" si="3"/>
        <v>1095000</v>
      </c>
      <c r="L226" s="2">
        <v>1475</v>
      </c>
      <c r="M226">
        <v>1365</v>
      </c>
      <c r="N226">
        <v>110</v>
      </c>
    </row>
    <row r="227" spans="1:14" x14ac:dyDescent="0.3">
      <c r="A227" t="s">
        <v>62</v>
      </c>
      <c r="B227" s="6" t="str">
        <f>HYPERLINK("https://mennonite.britecorepro.com/gateway?file=core.router&amp;method=routeEntity&amp;entity_type=policy&amp;entity_number=11-2 S 15A", "11-2 S 15A")</f>
        <v>11-2 S 15A</v>
      </c>
      <c r="C227" s="6" t="s">
        <v>405</v>
      </c>
      <c r="D227" t="s">
        <v>28</v>
      </c>
      <c r="E227" s="1">
        <v>45647</v>
      </c>
      <c r="F227" s="1">
        <v>46012</v>
      </c>
      <c r="I227">
        <v>50000</v>
      </c>
      <c r="J227">
        <v>300000</v>
      </c>
      <c r="K227" s="2">
        <f t="shared" si="3"/>
        <v>50000</v>
      </c>
      <c r="L227" s="2">
        <v>210</v>
      </c>
      <c r="M227">
        <v>130</v>
      </c>
      <c r="N227">
        <v>80</v>
      </c>
    </row>
    <row r="228" spans="1:14" x14ac:dyDescent="0.3">
      <c r="A228" t="s">
        <v>133</v>
      </c>
      <c r="B228" s="6" t="str">
        <f>HYPERLINK("https://mennonite.britecorepro.com/gateway?file=core.router&amp;method=routeEntity&amp;entity_type=policy&amp;entity_number=11-2 S 21B", "11-2 S 21B")</f>
        <v>11-2 S 21B</v>
      </c>
      <c r="C228" s="6" t="s">
        <v>405</v>
      </c>
      <c r="D228" t="s">
        <v>12</v>
      </c>
      <c r="E228" s="1">
        <v>45630</v>
      </c>
      <c r="F228" s="1">
        <v>45995</v>
      </c>
      <c r="G228">
        <v>616000</v>
      </c>
      <c r="I228">
        <v>308000</v>
      </c>
      <c r="J228">
        <v>300000</v>
      </c>
      <c r="K228" s="2">
        <f t="shared" si="3"/>
        <v>924000</v>
      </c>
      <c r="L228" s="2">
        <v>789</v>
      </c>
      <c r="M228">
        <v>709</v>
      </c>
      <c r="N228">
        <v>80</v>
      </c>
    </row>
    <row r="229" spans="1:14" x14ac:dyDescent="0.3">
      <c r="A229" t="s">
        <v>217</v>
      </c>
      <c r="B229" s="6" t="str">
        <f>HYPERLINK("https://mennonite.britecorepro.com/gateway?file=core.router&amp;method=routeEntity&amp;entity_type=policy&amp;entity_number=11-2 S 36", "11-2 S 36")</f>
        <v>11-2 S 36</v>
      </c>
      <c r="C229" s="6" t="s">
        <v>405</v>
      </c>
      <c r="D229" t="s">
        <v>12</v>
      </c>
      <c r="E229" s="1">
        <v>45611</v>
      </c>
      <c r="F229" s="1">
        <v>45976</v>
      </c>
      <c r="G229">
        <v>522000</v>
      </c>
      <c r="I229">
        <v>261000</v>
      </c>
      <c r="J229">
        <v>300000</v>
      </c>
      <c r="K229" s="2">
        <f t="shared" si="3"/>
        <v>783000</v>
      </c>
      <c r="L229" s="2">
        <v>975</v>
      </c>
      <c r="M229">
        <v>895</v>
      </c>
      <c r="N229">
        <v>80</v>
      </c>
    </row>
    <row r="230" spans="1:14" x14ac:dyDescent="0.3">
      <c r="A230" t="s">
        <v>23</v>
      </c>
      <c r="B230" s="6" t="str">
        <f>HYPERLINK("https://mennonite.britecorepro.com/gateway?file=core.router&amp;method=routeEntity&amp;entity_type=policy&amp;entity_number=11-2 S 42", "11-2 S 42")</f>
        <v>11-2 S 42</v>
      </c>
      <c r="C230" s="6" t="s">
        <v>405</v>
      </c>
      <c r="D230" t="s">
        <v>12</v>
      </c>
      <c r="E230" s="1">
        <v>45656</v>
      </c>
      <c r="F230" s="1">
        <v>46021</v>
      </c>
      <c r="G230">
        <v>494000</v>
      </c>
      <c r="I230">
        <v>247000</v>
      </c>
      <c r="J230">
        <v>500000</v>
      </c>
      <c r="K230" s="2">
        <f t="shared" si="3"/>
        <v>741000</v>
      </c>
      <c r="L230" s="2">
        <v>937</v>
      </c>
      <c r="M230">
        <v>827</v>
      </c>
      <c r="N230">
        <v>110</v>
      </c>
    </row>
    <row r="231" spans="1:14" x14ac:dyDescent="0.3">
      <c r="A231" t="s">
        <v>340</v>
      </c>
      <c r="B231" s="6" t="str">
        <f>HYPERLINK("https://mennonite.britecorepro.com/gateway?file=core.router&amp;method=routeEntity&amp;entity_type=policy&amp;entity_number=11-2 T 11F", "11-2 T 11F")</f>
        <v>11-2 T 11F</v>
      </c>
      <c r="C231" s="6" t="s">
        <v>405</v>
      </c>
      <c r="D231" t="s">
        <v>16</v>
      </c>
      <c r="E231" s="1">
        <v>45581</v>
      </c>
      <c r="F231" s="1">
        <v>45946</v>
      </c>
      <c r="G231">
        <v>514000</v>
      </c>
      <c r="H231">
        <v>21000</v>
      </c>
      <c r="I231">
        <v>1000</v>
      </c>
      <c r="J231">
        <v>500000</v>
      </c>
      <c r="K231" s="2">
        <f t="shared" si="3"/>
        <v>536000</v>
      </c>
      <c r="L231" s="2">
        <v>1712</v>
      </c>
      <c r="M231">
        <v>1672</v>
      </c>
      <c r="N231">
        <v>40</v>
      </c>
    </row>
    <row r="232" spans="1:14" x14ac:dyDescent="0.3">
      <c r="A232" t="s">
        <v>220</v>
      </c>
      <c r="B232" s="6" t="str">
        <f>HYPERLINK("https://mennonite.britecorepro.com/gateway?file=core.router&amp;method=routeEntity&amp;entity_type=policy&amp;entity_number=11-2 T 25A", "11-2 T 25A")</f>
        <v>11-2 T 25A</v>
      </c>
      <c r="C232" s="6" t="s">
        <v>405</v>
      </c>
      <c r="D232" t="s">
        <v>12</v>
      </c>
      <c r="E232" s="1">
        <v>45610</v>
      </c>
      <c r="F232" s="1">
        <v>45975</v>
      </c>
      <c r="G232">
        <v>824000</v>
      </c>
      <c r="I232">
        <v>412000</v>
      </c>
      <c r="J232">
        <v>300000</v>
      </c>
      <c r="K232" s="2">
        <f t="shared" si="3"/>
        <v>1236000</v>
      </c>
      <c r="L232" s="2">
        <v>1178</v>
      </c>
      <c r="M232">
        <v>1098</v>
      </c>
      <c r="N232">
        <v>80</v>
      </c>
    </row>
    <row r="233" spans="1:14" x14ac:dyDescent="0.3">
      <c r="A233" t="s">
        <v>82</v>
      </c>
      <c r="B233" s="6" t="str">
        <f>HYPERLINK("https://mennonite.britecorepro.com/gateway?file=core.router&amp;method=routeEntity&amp;entity_type=policy&amp;entity_number=11-2 T 25B", "11-2 T 25B")</f>
        <v>11-2 T 25B</v>
      </c>
      <c r="C233" s="6" t="s">
        <v>405</v>
      </c>
      <c r="D233" t="s">
        <v>16</v>
      </c>
      <c r="E233" s="1">
        <v>45643</v>
      </c>
      <c r="F233" s="1">
        <v>46008</v>
      </c>
      <c r="G233">
        <v>505000</v>
      </c>
      <c r="I233">
        <v>4000</v>
      </c>
      <c r="J233">
        <v>300000</v>
      </c>
      <c r="K233" s="2">
        <f t="shared" si="3"/>
        <v>509000</v>
      </c>
      <c r="L233" s="2">
        <v>1123</v>
      </c>
      <c r="M233">
        <v>1093</v>
      </c>
      <c r="N233">
        <v>30</v>
      </c>
    </row>
    <row r="234" spans="1:14" x14ac:dyDescent="0.3">
      <c r="A234" t="s">
        <v>250</v>
      </c>
      <c r="B234" s="6" t="str">
        <f>HYPERLINK("https://mennonite.britecorepro.com/gateway?file=core.router&amp;method=routeEntity&amp;entity_type=policy&amp;entity_number=11-2 T 28A", "11-2 T 28A")</f>
        <v>11-2 T 28A</v>
      </c>
      <c r="C234" s="6" t="s">
        <v>405</v>
      </c>
      <c r="D234" t="s">
        <v>12</v>
      </c>
      <c r="E234" s="1">
        <v>45603</v>
      </c>
      <c r="F234" s="1">
        <v>45968</v>
      </c>
      <c r="G234">
        <v>665000</v>
      </c>
      <c r="I234">
        <v>332500</v>
      </c>
      <c r="J234">
        <v>300000</v>
      </c>
      <c r="K234" s="2">
        <f t="shared" si="3"/>
        <v>997500</v>
      </c>
      <c r="L234" s="2">
        <v>967</v>
      </c>
      <c r="M234">
        <v>887</v>
      </c>
      <c r="N234">
        <v>80</v>
      </c>
    </row>
    <row r="235" spans="1:14" x14ac:dyDescent="0.3">
      <c r="A235" t="s">
        <v>158</v>
      </c>
      <c r="B235" s="6" t="str">
        <f>HYPERLINK("https://mennonite.britecorepro.com/gateway?file=core.router&amp;method=routeEntity&amp;entity_type=policy&amp;entity_number=11-2 T 32", "11-2 T 32")</f>
        <v>11-2 T 32</v>
      </c>
      <c r="C235" s="6" t="s">
        <v>405</v>
      </c>
      <c r="D235" t="s">
        <v>12</v>
      </c>
      <c r="E235" s="1">
        <v>45625</v>
      </c>
      <c r="F235" s="1">
        <v>45990</v>
      </c>
      <c r="G235">
        <v>517000</v>
      </c>
      <c r="I235">
        <v>258500</v>
      </c>
      <c r="J235">
        <v>500000</v>
      </c>
      <c r="K235" s="2">
        <f t="shared" si="3"/>
        <v>775500</v>
      </c>
      <c r="L235" s="2">
        <v>844</v>
      </c>
      <c r="M235">
        <v>734</v>
      </c>
      <c r="N235">
        <v>110</v>
      </c>
    </row>
    <row r="236" spans="1:14" x14ac:dyDescent="0.3">
      <c r="A236" t="s">
        <v>52</v>
      </c>
      <c r="B236" s="6" t="str">
        <f>HYPERLINK("https://mennonite.britecorepro.com/gateway?file=core.router&amp;method=routeEntity&amp;entity_type=policy&amp;entity_number=11-2 T 35", "11-2 T 35")</f>
        <v>11-2 T 35</v>
      </c>
      <c r="C236" s="6" t="s">
        <v>405</v>
      </c>
      <c r="D236" t="s">
        <v>12</v>
      </c>
      <c r="E236" s="1">
        <v>45648</v>
      </c>
      <c r="F236" s="1">
        <v>46013</v>
      </c>
      <c r="G236">
        <v>35000</v>
      </c>
      <c r="I236">
        <v>50000</v>
      </c>
      <c r="J236">
        <v>300000</v>
      </c>
      <c r="K236" s="2">
        <f t="shared" si="3"/>
        <v>85000</v>
      </c>
      <c r="L236" s="2">
        <v>239</v>
      </c>
      <c r="M236">
        <v>159</v>
      </c>
      <c r="N236">
        <v>80</v>
      </c>
    </row>
    <row r="237" spans="1:14" x14ac:dyDescent="0.3">
      <c r="A237" t="s">
        <v>314</v>
      </c>
      <c r="B237" s="6" t="str">
        <f>HYPERLINK("https://mennonite.britecorepro.com/gateway?file=core.router&amp;method=routeEntity&amp;entity_type=policy&amp;entity_number=11-2 V 13A", "11-2 V 13A")</f>
        <v>11-2 V 13A</v>
      </c>
      <c r="C237" s="6" t="s">
        <v>405</v>
      </c>
      <c r="D237" t="s">
        <v>12</v>
      </c>
      <c r="E237" s="1">
        <v>45587</v>
      </c>
      <c r="F237" s="1">
        <v>45952</v>
      </c>
      <c r="G237">
        <v>996000</v>
      </c>
      <c r="I237">
        <v>498000</v>
      </c>
      <c r="J237">
        <v>300000</v>
      </c>
      <c r="K237" s="2">
        <f t="shared" si="3"/>
        <v>1494000</v>
      </c>
      <c r="L237" s="2">
        <v>1960</v>
      </c>
      <c r="M237">
        <v>1880</v>
      </c>
      <c r="N237">
        <v>80</v>
      </c>
    </row>
    <row r="238" spans="1:14" x14ac:dyDescent="0.3">
      <c r="A238" t="s">
        <v>159</v>
      </c>
      <c r="B238" s="6" t="str">
        <f>HYPERLINK("https://mennonite.britecorepro.com/gateway?file=core.router&amp;method=routeEntity&amp;entity_type=policy&amp;entity_number=11-2 W 06", "11-2 W 06")</f>
        <v>11-2 W 06</v>
      </c>
      <c r="C238" s="6" t="s">
        <v>405</v>
      </c>
      <c r="D238" t="s">
        <v>12</v>
      </c>
      <c r="E238" s="1">
        <v>45624</v>
      </c>
      <c r="F238" s="1">
        <v>45989</v>
      </c>
      <c r="G238">
        <v>675000</v>
      </c>
      <c r="I238">
        <v>337500</v>
      </c>
      <c r="J238">
        <v>300000</v>
      </c>
      <c r="K238" s="2">
        <f t="shared" si="3"/>
        <v>1012500</v>
      </c>
      <c r="L238" s="2">
        <v>1340</v>
      </c>
      <c r="M238">
        <v>1260</v>
      </c>
      <c r="N238">
        <v>80</v>
      </c>
    </row>
    <row r="239" spans="1:14" x14ac:dyDescent="0.3">
      <c r="A239" t="s">
        <v>232</v>
      </c>
      <c r="B239" s="6" t="str">
        <f>HYPERLINK("https://mennonite.britecorepro.com/gateway?file=core.router&amp;method=routeEntity&amp;entity_type=policy&amp;entity_number=11-2 W 19", "11-2 W 19")</f>
        <v>11-2 W 19</v>
      </c>
      <c r="C239" s="6" t="s">
        <v>405</v>
      </c>
      <c r="D239" t="s">
        <v>12</v>
      </c>
      <c r="E239" s="1">
        <v>45607</v>
      </c>
      <c r="F239" s="1">
        <v>45972</v>
      </c>
      <c r="G239">
        <v>693000</v>
      </c>
      <c r="I239">
        <v>346500</v>
      </c>
      <c r="J239">
        <v>300000</v>
      </c>
      <c r="K239" s="2">
        <f t="shared" si="3"/>
        <v>1039500</v>
      </c>
      <c r="L239" s="2">
        <v>1654</v>
      </c>
      <c r="M239">
        <v>1574</v>
      </c>
      <c r="N239">
        <v>80</v>
      </c>
    </row>
    <row r="240" spans="1:14" x14ac:dyDescent="0.3">
      <c r="A240" t="s">
        <v>285</v>
      </c>
      <c r="B240" s="6" t="str">
        <f>HYPERLINK("https://mennonite.britecorepro.com/gateway?file=core.router&amp;method=routeEntity&amp;entity_type=policy&amp;entity_number=11-2 Y 01B", "11-2 Y 01B")</f>
        <v>11-2 Y 01B</v>
      </c>
      <c r="C240" s="6" t="s">
        <v>405</v>
      </c>
      <c r="D240" t="s">
        <v>12</v>
      </c>
      <c r="E240" s="1">
        <v>45594</v>
      </c>
      <c r="F240" s="1">
        <v>45959</v>
      </c>
      <c r="G240">
        <v>696000</v>
      </c>
      <c r="I240">
        <v>348000</v>
      </c>
      <c r="J240">
        <v>300000</v>
      </c>
      <c r="K240" s="2">
        <f t="shared" si="3"/>
        <v>1044000</v>
      </c>
      <c r="L240" s="2">
        <v>977</v>
      </c>
      <c r="M240">
        <v>897</v>
      </c>
      <c r="N240">
        <v>80</v>
      </c>
    </row>
    <row r="241" spans="1:14" x14ac:dyDescent="0.3">
      <c r="A241" t="s">
        <v>209</v>
      </c>
      <c r="B241" s="6" t="str">
        <f>HYPERLINK("https://mennonite.britecorepro.com/gateway?file=core.router&amp;method=routeEntity&amp;entity_type=policy&amp;entity_number=11-2 Z 02", "11-2 Z 02")</f>
        <v>11-2 Z 02</v>
      </c>
      <c r="C241" s="6" t="s">
        <v>405</v>
      </c>
      <c r="D241" t="s">
        <v>12</v>
      </c>
      <c r="E241" s="1">
        <v>45613</v>
      </c>
      <c r="F241" s="1">
        <v>45978</v>
      </c>
      <c r="G241">
        <v>468000</v>
      </c>
      <c r="I241">
        <v>234000</v>
      </c>
      <c r="J241">
        <v>300000</v>
      </c>
      <c r="K241" s="2">
        <f t="shared" si="3"/>
        <v>702000</v>
      </c>
      <c r="L241" s="2">
        <v>733</v>
      </c>
      <c r="M241">
        <v>653</v>
      </c>
      <c r="N241">
        <v>80</v>
      </c>
    </row>
    <row r="242" spans="1:14" x14ac:dyDescent="0.3">
      <c r="A242" t="s">
        <v>355</v>
      </c>
      <c r="B242" s="6" t="str">
        <f>HYPERLINK("https://mennonite.britecorepro.com/gateway?file=core.router&amp;method=routeEntity&amp;entity_type=policy&amp;entity_number=11-3 C 01", "11-3 C 01")</f>
        <v>11-3 C 01</v>
      </c>
      <c r="C242" s="6" t="s">
        <v>405</v>
      </c>
      <c r="D242" t="s">
        <v>12</v>
      </c>
      <c r="E242" s="1">
        <v>45576</v>
      </c>
      <c r="F242" s="1">
        <v>45941</v>
      </c>
      <c r="G242">
        <v>417000</v>
      </c>
      <c r="I242">
        <v>208500</v>
      </c>
      <c r="K242" s="2">
        <f t="shared" si="3"/>
        <v>625500</v>
      </c>
      <c r="L242" s="2">
        <v>1016</v>
      </c>
      <c r="M242">
        <v>1016</v>
      </c>
    </row>
    <row r="243" spans="1:14" x14ac:dyDescent="0.3">
      <c r="A243" t="s">
        <v>170</v>
      </c>
      <c r="B243" s="6" t="str">
        <f>HYPERLINK("https://mennonite.britecorepro.com/gateway?file=core.router&amp;method=routeEntity&amp;entity_type=policy&amp;entity_number=11-3 F 15", "11-3 F 15")</f>
        <v>11-3 F 15</v>
      </c>
      <c r="C243" s="6" t="s">
        <v>405</v>
      </c>
      <c r="D243" t="s">
        <v>12</v>
      </c>
      <c r="E243" s="1">
        <v>45621</v>
      </c>
      <c r="F243" s="1">
        <v>45986</v>
      </c>
      <c r="G243">
        <v>460000</v>
      </c>
      <c r="I243">
        <v>230000</v>
      </c>
      <c r="J243">
        <v>300000</v>
      </c>
      <c r="K243" s="2">
        <f t="shared" si="3"/>
        <v>690000</v>
      </c>
      <c r="L243" s="2">
        <v>825</v>
      </c>
      <c r="M243">
        <v>745</v>
      </c>
      <c r="N243">
        <v>80</v>
      </c>
    </row>
    <row r="244" spans="1:14" x14ac:dyDescent="0.3">
      <c r="A244" t="s">
        <v>259</v>
      </c>
      <c r="B244" s="6" t="str">
        <f>HYPERLINK("https://mennonite.britecorepro.com/gateway?file=core.router&amp;method=routeEntity&amp;entity_type=policy&amp;entity_number=11-3 Q 05A", "11-3 Q 05A")</f>
        <v>11-3 Q 05A</v>
      </c>
      <c r="C244" s="6" t="s">
        <v>405</v>
      </c>
      <c r="D244" t="s">
        <v>16</v>
      </c>
      <c r="E244" s="1">
        <v>45599</v>
      </c>
      <c r="F244" s="1">
        <v>45964</v>
      </c>
      <c r="G244">
        <v>355000</v>
      </c>
      <c r="I244">
        <v>1000</v>
      </c>
      <c r="J244">
        <v>300000</v>
      </c>
      <c r="K244" s="2">
        <f t="shared" si="3"/>
        <v>356000</v>
      </c>
      <c r="L244" s="2">
        <v>1165</v>
      </c>
      <c r="M244">
        <v>1135</v>
      </c>
      <c r="N244">
        <v>30</v>
      </c>
    </row>
    <row r="245" spans="1:14" x14ac:dyDescent="0.3">
      <c r="A245" t="s">
        <v>177</v>
      </c>
      <c r="B245" s="6" t="str">
        <f>HYPERLINK("https://mennonite.britecorepro.com/gateway?file=core.router&amp;method=routeEntity&amp;entity_type=policy&amp;entity_number=11-3 S 06C", "11-3 S 06C")</f>
        <v>11-3 S 06C</v>
      </c>
      <c r="C245" s="6" t="s">
        <v>405</v>
      </c>
      <c r="D245" t="s">
        <v>12</v>
      </c>
      <c r="E245" s="1">
        <v>45620</v>
      </c>
      <c r="F245" s="1">
        <v>45985</v>
      </c>
      <c r="G245">
        <v>434000</v>
      </c>
      <c r="I245">
        <v>217000</v>
      </c>
      <c r="J245">
        <v>500000</v>
      </c>
      <c r="K245" s="2">
        <f t="shared" si="3"/>
        <v>651000</v>
      </c>
      <c r="L245" s="2">
        <v>1127</v>
      </c>
      <c r="M245">
        <v>1017</v>
      </c>
      <c r="N245">
        <v>110</v>
      </c>
    </row>
    <row r="246" spans="1:14" x14ac:dyDescent="0.3">
      <c r="A246" t="s">
        <v>36</v>
      </c>
      <c r="B246" s="6" t="str">
        <f>HYPERLINK("https://mennonite.britecorepro.com/gateway?file=core.router&amp;method=routeEntity&amp;entity_type=policy&amp;entity_number=11-4 B 02A", "11-4 B 02A")</f>
        <v>11-4 B 02A</v>
      </c>
      <c r="C246" s="6" t="s">
        <v>405</v>
      </c>
      <c r="D246" t="s">
        <v>12</v>
      </c>
      <c r="E246" s="1">
        <v>45653</v>
      </c>
      <c r="F246" s="1">
        <v>46018</v>
      </c>
      <c r="G246">
        <v>546000</v>
      </c>
      <c r="I246">
        <v>273000</v>
      </c>
      <c r="J246">
        <v>500000</v>
      </c>
      <c r="K246" s="2">
        <f t="shared" si="3"/>
        <v>819000</v>
      </c>
      <c r="L246" s="2">
        <v>2387</v>
      </c>
      <c r="M246">
        <v>2277</v>
      </c>
      <c r="N246">
        <v>110</v>
      </c>
    </row>
    <row r="247" spans="1:14" x14ac:dyDescent="0.3">
      <c r="A247" t="s">
        <v>111</v>
      </c>
      <c r="B247" s="6" t="str">
        <f>HYPERLINK("https://mennonite.britecorepro.com/gateway?file=core.router&amp;method=routeEntity&amp;entity_type=policy&amp;entity_number=11-4 B 06A", "11-4 B 06A")</f>
        <v>11-4 B 06A</v>
      </c>
      <c r="C247" s="6" t="s">
        <v>405</v>
      </c>
      <c r="D247" t="s">
        <v>12</v>
      </c>
      <c r="E247" s="1">
        <v>45637</v>
      </c>
      <c r="F247" s="1">
        <v>46002</v>
      </c>
      <c r="G247">
        <v>799000</v>
      </c>
      <c r="I247">
        <v>399500</v>
      </c>
      <c r="J247">
        <v>300000</v>
      </c>
      <c r="K247" s="2">
        <f t="shared" si="3"/>
        <v>1198500</v>
      </c>
      <c r="L247" s="2">
        <v>1431</v>
      </c>
      <c r="M247">
        <v>1351</v>
      </c>
      <c r="N247">
        <v>80</v>
      </c>
    </row>
    <row r="248" spans="1:14" x14ac:dyDescent="0.3">
      <c r="A248" t="s">
        <v>40</v>
      </c>
      <c r="B248" s="6" t="str">
        <f>HYPERLINK("https://mennonite.britecorepro.com/gateway?file=core.router&amp;method=routeEntity&amp;entity_type=policy&amp;entity_number=11-4 B 08A", "11-4 B 08A")</f>
        <v>11-4 B 08A</v>
      </c>
      <c r="C248" s="6" t="s">
        <v>405</v>
      </c>
      <c r="D248" t="s">
        <v>12</v>
      </c>
      <c r="E248" s="1">
        <v>45652</v>
      </c>
      <c r="F248" s="1">
        <v>46017</v>
      </c>
      <c r="G248">
        <v>490000</v>
      </c>
      <c r="I248">
        <v>245000</v>
      </c>
      <c r="J248">
        <v>300000</v>
      </c>
      <c r="K248" s="2">
        <f t="shared" si="3"/>
        <v>735000</v>
      </c>
      <c r="L248" s="2">
        <v>1335</v>
      </c>
      <c r="M248">
        <v>1255</v>
      </c>
      <c r="N248">
        <v>80</v>
      </c>
    </row>
    <row r="249" spans="1:14" x14ac:dyDescent="0.3">
      <c r="A249" t="s">
        <v>24</v>
      </c>
      <c r="B249" s="6" t="str">
        <f>HYPERLINK("https://mennonite.britecorepro.com/gateway?file=core.router&amp;method=routeEntity&amp;entity_type=policy&amp;entity_number=11-4 C 02B", "11-4 C 02B")</f>
        <v>11-4 C 02B</v>
      </c>
      <c r="C249" s="6" t="s">
        <v>405</v>
      </c>
      <c r="D249" t="s">
        <v>12</v>
      </c>
      <c r="E249" s="1">
        <v>45656</v>
      </c>
      <c r="F249" s="1">
        <v>46021</v>
      </c>
      <c r="G249">
        <v>514000</v>
      </c>
      <c r="I249">
        <v>257000</v>
      </c>
      <c r="J249">
        <v>500000</v>
      </c>
      <c r="K249" s="2">
        <f t="shared" si="3"/>
        <v>771000</v>
      </c>
      <c r="L249" s="2">
        <v>966</v>
      </c>
      <c r="M249">
        <v>856</v>
      </c>
      <c r="N249">
        <v>110</v>
      </c>
    </row>
    <row r="250" spans="1:14" x14ac:dyDescent="0.3">
      <c r="A250" t="s">
        <v>37</v>
      </c>
      <c r="B250" s="6" t="str">
        <f>HYPERLINK("https://mennonite.britecorepro.com/gateway?file=core.router&amp;method=routeEntity&amp;entity_type=policy&amp;entity_number=11-4 F 16B", "11-4 F 16B")</f>
        <v>11-4 F 16B</v>
      </c>
      <c r="C250" s="6" t="s">
        <v>405</v>
      </c>
      <c r="D250" t="s">
        <v>12</v>
      </c>
      <c r="E250" s="1">
        <v>45653</v>
      </c>
      <c r="F250" s="1">
        <v>46018</v>
      </c>
      <c r="G250">
        <v>752000</v>
      </c>
      <c r="I250">
        <v>376000</v>
      </c>
      <c r="J250">
        <v>500000</v>
      </c>
      <c r="K250" s="2">
        <f t="shared" si="3"/>
        <v>1128000</v>
      </c>
      <c r="L250" s="2">
        <v>1515</v>
      </c>
      <c r="M250">
        <v>1405</v>
      </c>
      <c r="N250">
        <v>110</v>
      </c>
    </row>
    <row r="251" spans="1:14" x14ac:dyDescent="0.3">
      <c r="A251" t="s">
        <v>385</v>
      </c>
      <c r="B251" s="6" t="str">
        <f>HYPERLINK("https://mennonite.britecorepro.com/gateway?file=core.router&amp;method=routeEntity&amp;entity_type=policy&amp;entity_number=11-4 F 24C", "11-4 F 24C")</f>
        <v>11-4 F 24C</v>
      </c>
      <c r="C251" s="6" t="s">
        <v>405</v>
      </c>
      <c r="D251" t="s">
        <v>16</v>
      </c>
      <c r="E251" s="1">
        <v>45568</v>
      </c>
      <c r="F251" s="1">
        <v>45933</v>
      </c>
      <c r="G251">
        <v>648000</v>
      </c>
      <c r="I251">
        <v>1000</v>
      </c>
      <c r="J251">
        <v>300000</v>
      </c>
      <c r="K251" s="2">
        <f t="shared" si="3"/>
        <v>649000</v>
      </c>
      <c r="L251" s="2">
        <v>1038</v>
      </c>
      <c r="M251">
        <v>1008</v>
      </c>
      <c r="N251">
        <v>30</v>
      </c>
    </row>
    <row r="252" spans="1:14" x14ac:dyDescent="0.3">
      <c r="A252" t="s">
        <v>374</v>
      </c>
      <c r="B252" s="6" t="str">
        <f>HYPERLINK("https://mennonite.britecorepro.com/gateway?file=core.router&amp;method=routeEntity&amp;entity_type=policy&amp;entity_number=11-4 G 10C", "11-4 G 10C")</f>
        <v>11-4 G 10C</v>
      </c>
      <c r="C252" s="6" t="s">
        <v>405</v>
      </c>
      <c r="D252" t="s">
        <v>12</v>
      </c>
      <c r="E252" s="1">
        <v>45571</v>
      </c>
      <c r="F252" s="1">
        <v>45936</v>
      </c>
      <c r="G252">
        <v>646000</v>
      </c>
      <c r="I252">
        <v>323000</v>
      </c>
      <c r="J252">
        <v>300000</v>
      </c>
      <c r="K252" s="2">
        <f t="shared" si="3"/>
        <v>969000</v>
      </c>
      <c r="L252" s="2">
        <v>1288</v>
      </c>
      <c r="M252">
        <v>1208</v>
      </c>
      <c r="N252">
        <v>80</v>
      </c>
    </row>
    <row r="253" spans="1:14" x14ac:dyDescent="0.3">
      <c r="A253" t="s">
        <v>221</v>
      </c>
      <c r="B253" s="6" t="str">
        <f>HYPERLINK("https://mennonite.britecorepro.com/gateway?file=core.router&amp;method=routeEntity&amp;entity_type=policy&amp;entity_number=11-4 H 04C", "11-4 H 04C")</f>
        <v>11-4 H 04C</v>
      </c>
      <c r="C253" s="6" t="s">
        <v>405</v>
      </c>
      <c r="D253" t="s">
        <v>28</v>
      </c>
      <c r="E253" s="1">
        <v>45610</v>
      </c>
      <c r="F253" s="1">
        <v>45975</v>
      </c>
      <c r="I253">
        <v>35000</v>
      </c>
      <c r="J253">
        <v>300000</v>
      </c>
      <c r="K253" s="2">
        <f t="shared" si="3"/>
        <v>35000</v>
      </c>
      <c r="L253" s="2">
        <v>157</v>
      </c>
      <c r="M253">
        <v>77</v>
      </c>
      <c r="N253">
        <v>80</v>
      </c>
    </row>
    <row r="254" spans="1:14" x14ac:dyDescent="0.3">
      <c r="A254" t="s">
        <v>124</v>
      </c>
      <c r="B254" s="6" t="str">
        <f>HYPERLINK("https://mennonite.britecorepro.com/gateway?file=core.router&amp;method=routeEntity&amp;entity_type=policy&amp;entity_number=11-4 I 02", "11-4 I 02")</f>
        <v>11-4 I 02</v>
      </c>
      <c r="C254" s="6" t="s">
        <v>405</v>
      </c>
      <c r="D254" t="s">
        <v>12</v>
      </c>
      <c r="E254" s="1">
        <v>45632</v>
      </c>
      <c r="F254" s="1">
        <v>45997</v>
      </c>
      <c r="G254">
        <v>503000</v>
      </c>
      <c r="I254">
        <v>251500</v>
      </c>
      <c r="J254">
        <v>300000</v>
      </c>
      <c r="K254" s="2">
        <f t="shared" si="3"/>
        <v>754500</v>
      </c>
      <c r="L254" s="2">
        <v>941</v>
      </c>
      <c r="M254">
        <v>861</v>
      </c>
      <c r="N254">
        <v>80</v>
      </c>
    </row>
    <row r="255" spans="1:14" x14ac:dyDescent="0.3">
      <c r="A255" t="s">
        <v>268</v>
      </c>
      <c r="B255" s="6" t="str">
        <f>HYPERLINK("https://mennonite.britecorepro.com/gateway?file=core.router&amp;method=routeEntity&amp;entity_type=policy&amp;entity_number=11-4 K 06D", "11-4 K 06D")</f>
        <v>11-4 K 06D</v>
      </c>
      <c r="C255" s="6" t="s">
        <v>405</v>
      </c>
      <c r="D255" t="s">
        <v>12</v>
      </c>
      <c r="E255" s="1">
        <v>45597</v>
      </c>
      <c r="F255" s="1">
        <v>45962</v>
      </c>
      <c r="G255">
        <v>497000</v>
      </c>
      <c r="I255">
        <v>248500</v>
      </c>
      <c r="J255">
        <v>300000</v>
      </c>
      <c r="K255" s="2">
        <f t="shared" si="3"/>
        <v>745500</v>
      </c>
      <c r="L255" s="2">
        <v>976</v>
      </c>
      <c r="M255">
        <v>896</v>
      </c>
      <c r="N255">
        <v>80</v>
      </c>
    </row>
    <row r="256" spans="1:14" x14ac:dyDescent="0.3">
      <c r="A256" t="s">
        <v>129</v>
      </c>
      <c r="B256" s="6" t="str">
        <f>HYPERLINK("https://mennonite.britecorepro.com/gateway?file=core.router&amp;method=routeEntity&amp;entity_type=policy&amp;entity_number=11-4 M 10B", "11-4 M 10B")</f>
        <v>11-4 M 10B</v>
      </c>
      <c r="C256" s="6" t="s">
        <v>405</v>
      </c>
      <c r="D256" t="s">
        <v>12</v>
      </c>
      <c r="E256" s="1">
        <v>45631</v>
      </c>
      <c r="F256" s="1">
        <v>45996</v>
      </c>
      <c r="G256">
        <v>1290000</v>
      </c>
      <c r="I256">
        <v>645000</v>
      </c>
      <c r="J256">
        <v>300000</v>
      </c>
      <c r="K256" s="2">
        <f t="shared" si="3"/>
        <v>1935000</v>
      </c>
      <c r="L256" s="2">
        <v>1595</v>
      </c>
      <c r="M256">
        <v>1515</v>
      </c>
      <c r="N256">
        <v>80</v>
      </c>
    </row>
    <row r="257" spans="1:14" x14ac:dyDescent="0.3">
      <c r="A257" t="s">
        <v>125</v>
      </c>
      <c r="B257" s="6" t="str">
        <f>HYPERLINK("https://mennonite.britecorepro.com/gateway?file=core.router&amp;method=routeEntity&amp;entity_type=policy&amp;entity_number=11-4 N 06E", "11-4 N 06E")</f>
        <v>11-4 N 06E</v>
      </c>
      <c r="C257" s="6" t="s">
        <v>405</v>
      </c>
      <c r="D257" t="s">
        <v>16</v>
      </c>
      <c r="E257" s="1">
        <v>45632</v>
      </c>
      <c r="F257" s="1">
        <v>45997</v>
      </c>
      <c r="G257">
        <v>322000</v>
      </c>
      <c r="I257">
        <v>1000</v>
      </c>
      <c r="K257" s="2">
        <f t="shared" si="3"/>
        <v>323000</v>
      </c>
      <c r="L257" s="2">
        <v>703</v>
      </c>
      <c r="M257">
        <v>703</v>
      </c>
    </row>
    <row r="258" spans="1:14" x14ac:dyDescent="0.3">
      <c r="A258" t="s">
        <v>15</v>
      </c>
      <c r="B258" s="6" t="str">
        <f>HYPERLINK("https://mennonite.britecorepro.com/gateway?file=core.router&amp;method=routeEntity&amp;entity_type=policy&amp;entity_number=11-4 N 06I", "11-4 N 06I")</f>
        <v>11-4 N 06I</v>
      </c>
      <c r="C258" s="6" t="s">
        <v>405</v>
      </c>
      <c r="D258" t="s">
        <v>16</v>
      </c>
      <c r="E258" s="1">
        <v>45657</v>
      </c>
      <c r="F258" s="1">
        <v>46022</v>
      </c>
      <c r="G258">
        <v>399000</v>
      </c>
      <c r="I258">
        <v>1000</v>
      </c>
      <c r="K258" s="2">
        <f t="shared" ref="K258:K321" si="4">G258+H258+I258</f>
        <v>400000</v>
      </c>
      <c r="L258" s="2">
        <v>845</v>
      </c>
      <c r="M258">
        <v>845</v>
      </c>
    </row>
    <row r="259" spans="1:14" x14ac:dyDescent="0.3">
      <c r="A259" t="s">
        <v>112</v>
      </c>
      <c r="B259" s="6" t="str">
        <f>HYPERLINK("https://mennonite.britecorepro.com/gateway?file=core.router&amp;method=routeEntity&amp;entity_type=policy&amp;entity_number=11-4 N 06L", "11-4 N 06L")</f>
        <v>11-4 N 06L</v>
      </c>
      <c r="C259" s="6" t="s">
        <v>405</v>
      </c>
      <c r="D259" t="s">
        <v>16</v>
      </c>
      <c r="E259" s="1">
        <v>45637</v>
      </c>
      <c r="F259" s="1">
        <v>46002</v>
      </c>
      <c r="G259">
        <v>1196000</v>
      </c>
      <c r="I259">
        <v>4000</v>
      </c>
      <c r="K259" s="2">
        <f t="shared" si="4"/>
        <v>1200000</v>
      </c>
      <c r="L259" s="2">
        <v>3420</v>
      </c>
      <c r="M259">
        <v>3420</v>
      </c>
    </row>
    <row r="260" spans="1:14" x14ac:dyDescent="0.3">
      <c r="A260" t="s">
        <v>386</v>
      </c>
      <c r="B260" s="6" t="str">
        <f>HYPERLINK("https://mennonite.britecorepro.com/gateway?file=core.router&amp;method=routeEntity&amp;entity_type=policy&amp;entity_number=11-4 N 07", "11-4 N 07")</f>
        <v>11-4 N 07</v>
      </c>
      <c r="C260" s="6" t="s">
        <v>405</v>
      </c>
      <c r="D260" t="s">
        <v>28</v>
      </c>
      <c r="E260" s="1">
        <v>45568</v>
      </c>
      <c r="F260" s="1">
        <v>45933</v>
      </c>
      <c r="I260">
        <v>35000</v>
      </c>
      <c r="J260">
        <v>300000</v>
      </c>
      <c r="K260" s="2">
        <f t="shared" si="4"/>
        <v>35000</v>
      </c>
      <c r="L260" s="2">
        <v>185</v>
      </c>
      <c r="M260">
        <v>105</v>
      </c>
      <c r="N260">
        <v>80</v>
      </c>
    </row>
    <row r="261" spans="1:14" x14ac:dyDescent="0.3">
      <c r="A261" t="s">
        <v>189</v>
      </c>
      <c r="B261" s="6" t="str">
        <f>HYPERLINK("https://mennonite.britecorepro.com/gateway?file=core.router&amp;method=routeEntity&amp;entity_type=policy&amp;entity_number=11-4 N 12A", "11-4 N 12A")</f>
        <v>11-4 N 12A</v>
      </c>
      <c r="C261" s="6" t="s">
        <v>405</v>
      </c>
      <c r="D261" t="s">
        <v>12</v>
      </c>
      <c r="E261" s="1">
        <v>45617</v>
      </c>
      <c r="F261" s="1">
        <v>45982</v>
      </c>
      <c r="G261">
        <v>605000</v>
      </c>
      <c r="I261">
        <v>302500</v>
      </c>
      <c r="J261">
        <v>300000</v>
      </c>
      <c r="K261" s="2">
        <f t="shared" si="4"/>
        <v>907500</v>
      </c>
      <c r="L261" s="2">
        <v>1149</v>
      </c>
      <c r="M261">
        <v>1069</v>
      </c>
      <c r="N261">
        <v>80</v>
      </c>
    </row>
    <row r="262" spans="1:14" x14ac:dyDescent="0.3">
      <c r="A262" t="s">
        <v>200</v>
      </c>
      <c r="B262" s="6" t="str">
        <f>HYPERLINK("https://mennonite.britecorepro.com/gateway?file=core.router&amp;method=routeEntity&amp;entity_type=policy&amp;entity_number=11-4 P 21A", "11-4 P 21A")</f>
        <v>11-4 P 21A</v>
      </c>
      <c r="C262" s="6" t="s">
        <v>405</v>
      </c>
      <c r="D262" t="s">
        <v>68</v>
      </c>
      <c r="E262" s="1">
        <v>45614</v>
      </c>
      <c r="F262" s="1">
        <v>45979</v>
      </c>
      <c r="G262">
        <v>187000</v>
      </c>
      <c r="K262" s="2">
        <f t="shared" si="4"/>
        <v>187000</v>
      </c>
      <c r="L262" s="2">
        <v>627</v>
      </c>
      <c r="M262">
        <v>627</v>
      </c>
    </row>
    <row r="263" spans="1:14" x14ac:dyDescent="0.3">
      <c r="A263" t="s">
        <v>356</v>
      </c>
      <c r="B263" s="6" t="str">
        <f>HYPERLINK("https://mennonite.britecorepro.com/gateway?file=core.router&amp;method=routeEntity&amp;entity_type=policy&amp;entity_number=11-4 R 18B", "11-4 R 18B")</f>
        <v>11-4 R 18B</v>
      </c>
      <c r="C263" s="6" t="s">
        <v>405</v>
      </c>
      <c r="D263" t="s">
        <v>16</v>
      </c>
      <c r="E263" s="1">
        <v>45576</v>
      </c>
      <c r="F263" s="1">
        <v>45941</v>
      </c>
      <c r="G263">
        <v>402000</v>
      </c>
      <c r="I263">
        <v>1000</v>
      </c>
      <c r="J263">
        <v>300000</v>
      </c>
      <c r="K263" s="2">
        <f t="shared" si="4"/>
        <v>403000</v>
      </c>
      <c r="L263" s="2">
        <v>901</v>
      </c>
      <c r="M263">
        <v>871</v>
      </c>
      <c r="N263">
        <v>30</v>
      </c>
    </row>
    <row r="264" spans="1:14" x14ac:dyDescent="0.3">
      <c r="A264" t="s">
        <v>380</v>
      </c>
      <c r="B264" s="6" t="str">
        <f>HYPERLINK("https://mennonite.britecorepro.com/gateway?file=core.router&amp;method=routeEntity&amp;entity_type=policy&amp;entity_number=11-4 R 20", "11-4 R 20")</f>
        <v>11-4 R 20</v>
      </c>
      <c r="C264" s="6" t="s">
        <v>405</v>
      </c>
      <c r="D264" t="s">
        <v>12</v>
      </c>
      <c r="E264" s="1">
        <v>45569</v>
      </c>
      <c r="F264" s="1">
        <v>45934</v>
      </c>
      <c r="G264">
        <v>410000</v>
      </c>
      <c r="I264">
        <v>205000</v>
      </c>
      <c r="J264">
        <v>300000</v>
      </c>
      <c r="K264" s="2">
        <f t="shared" si="4"/>
        <v>615000</v>
      </c>
      <c r="L264" s="2">
        <v>652</v>
      </c>
      <c r="M264">
        <v>572</v>
      </c>
      <c r="N264">
        <v>80</v>
      </c>
    </row>
    <row r="265" spans="1:14" x14ac:dyDescent="0.3">
      <c r="A265" t="s">
        <v>178</v>
      </c>
      <c r="B265" s="6" t="str">
        <f>HYPERLINK("https://mennonite.britecorepro.com/gateway?file=core.router&amp;method=routeEntity&amp;entity_type=policy&amp;entity_number=11-4 S 01B", "11-4 S 01B")</f>
        <v>11-4 S 01B</v>
      </c>
      <c r="C265" s="6" t="s">
        <v>405</v>
      </c>
      <c r="D265" t="s">
        <v>12</v>
      </c>
      <c r="E265" s="1">
        <v>45620</v>
      </c>
      <c r="F265" s="1">
        <v>45985</v>
      </c>
      <c r="G265">
        <v>1186000</v>
      </c>
      <c r="I265">
        <v>593000</v>
      </c>
      <c r="J265">
        <v>300000</v>
      </c>
      <c r="K265" s="2">
        <f t="shared" si="4"/>
        <v>1779000</v>
      </c>
      <c r="L265" s="2">
        <v>1498</v>
      </c>
      <c r="M265">
        <v>1418</v>
      </c>
      <c r="N265">
        <v>80</v>
      </c>
    </row>
    <row r="266" spans="1:14" x14ac:dyDescent="0.3">
      <c r="A266" t="s">
        <v>396</v>
      </c>
      <c r="B266" s="6" t="str">
        <f>HYPERLINK("https://mennonite.britecorepro.com/gateway?file=core.router&amp;method=routeEntity&amp;entity_type=policy&amp;entity_number=11-4 W 03A", "11-4 W 03A")</f>
        <v>11-4 W 03A</v>
      </c>
      <c r="C266" s="6" t="s">
        <v>405</v>
      </c>
      <c r="D266" t="s">
        <v>12</v>
      </c>
      <c r="E266" s="1">
        <v>45566</v>
      </c>
      <c r="F266" s="1">
        <v>45931</v>
      </c>
      <c r="G266">
        <v>603000</v>
      </c>
      <c r="H266">
        <v>124000</v>
      </c>
      <c r="I266">
        <v>301500</v>
      </c>
      <c r="J266">
        <v>500000</v>
      </c>
      <c r="K266" s="2">
        <f t="shared" si="4"/>
        <v>1028500</v>
      </c>
      <c r="L266" s="2">
        <v>3077</v>
      </c>
      <c r="M266">
        <v>2967</v>
      </c>
      <c r="N266">
        <v>110</v>
      </c>
    </row>
    <row r="267" spans="1:14" x14ac:dyDescent="0.3">
      <c r="A267" t="s">
        <v>115</v>
      </c>
      <c r="B267" s="6" t="str">
        <f>HYPERLINK("https://mennonite.britecorepro.com/gateway?file=core.router&amp;method=routeEntity&amp;entity_type=policy&amp;entity_number=11-4 W 19A", "11-4 W 19A")</f>
        <v>11-4 W 19A</v>
      </c>
      <c r="C267" s="6" t="s">
        <v>405</v>
      </c>
      <c r="D267" t="s">
        <v>12</v>
      </c>
      <c r="E267" s="1">
        <v>45634</v>
      </c>
      <c r="F267" s="1">
        <v>45999</v>
      </c>
      <c r="G267">
        <v>441000</v>
      </c>
      <c r="I267">
        <v>220500</v>
      </c>
      <c r="J267">
        <v>500000</v>
      </c>
      <c r="K267" s="2">
        <f t="shared" si="4"/>
        <v>661500</v>
      </c>
      <c r="L267" s="2">
        <v>938</v>
      </c>
      <c r="M267">
        <v>828</v>
      </c>
      <c r="N267">
        <v>110</v>
      </c>
    </row>
    <row r="268" spans="1:14" x14ac:dyDescent="0.3">
      <c r="A268" t="s">
        <v>130</v>
      </c>
      <c r="B268" s="6" t="str">
        <f>HYPERLINK("https://mennonite.britecorepro.com/gateway?file=core.router&amp;method=routeEntity&amp;entity_type=policy&amp;entity_number=11-4 W 21", "11-4 W 21")</f>
        <v>11-4 W 21</v>
      </c>
      <c r="C268" s="6" t="s">
        <v>405</v>
      </c>
      <c r="D268" t="s">
        <v>12</v>
      </c>
      <c r="E268" s="1">
        <v>45631</v>
      </c>
      <c r="F268" s="1">
        <v>45996</v>
      </c>
      <c r="G268">
        <v>812000</v>
      </c>
      <c r="I268">
        <v>406000</v>
      </c>
      <c r="J268">
        <v>500000</v>
      </c>
      <c r="K268" s="2">
        <f t="shared" si="4"/>
        <v>1218000</v>
      </c>
      <c r="L268" s="2">
        <v>934</v>
      </c>
      <c r="M268">
        <v>824</v>
      </c>
      <c r="N268">
        <v>110</v>
      </c>
    </row>
    <row r="269" spans="1:14" x14ac:dyDescent="0.3">
      <c r="A269" t="s">
        <v>201</v>
      </c>
      <c r="B269" s="6" t="str">
        <f>HYPERLINK("https://mennonite.britecorepro.com/gateway?file=core.router&amp;method=routeEntity&amp;entity_type=policy&amp;entity_number=11-4 Y 03", "11-4 Y 03")</f>
        <v>11-4 Y 03</v>
      </c>
      <c r="C269" s="6" t="s">
        <v>405</v>
      </c>
      <c r="D269" t="s">
        <v>12</v>
      </c>
      <c r="E269" s="1">
        <v>45614</v>
      </c>
      <c r="F269" s="1">
        <v>45979</v>
      </c>
      <c r="G269">
        <v>483000</v>
      </c>
      <c r="I269">
        <v>241500</v>
      </c>
      <c r="J269">
        <v>300000</v>
      </c>
      <c r="K269" s="2">
        <f t="shared" si="4"/>
        <v>724500</v>
      </c>
      <c r="L269" s="2">
        <v>1276</v>
      </c>
      <c r="M269">
        <v>1196</v>
      </c>
      <c r="N269">
        <v>80</v>
      </c>
    </row>
    <row r="270" spans="1:14" x14ac:dyDescent="0.3">
      <c r="A270" t="s">
        <v>300</v>
      </c>
      <c r="B270" s="6" t="str">
        <f>HYPERLINK("https://mennonite.britecorepro.com/gateway?file=core.router&amp;method=routeEntity&amp;entity_type=policy&amp;entity_number=12-0 H 03A", "12-0 H 03A")</f>
        <v>12-0 H 03A</v>
      </c>
      <c r="C270" s="6" t="s">
        <v>405</v>
      </c>
      <c r="D270" t="s">
        <v>12</v>
      </c>
      <c r="E270" s="1">
        <v>45591</v>
      </c>
      <c r="F270" s="1">
        <v>45956</v>
      </c>
      <c r="G270">
        <v>905000</v>
      </c>
      <c r="I270">
        <v>452500</v>
      </c>
      <c r="K270" s="2">
        <f t="shared" si="4"/>
        <v>1357500</v>
      </c>
      <c r="L270" s="2">
        <v>4016</v>
      </c>
      <c r="M270">
        <v>4016</v>
      </c>
    </row>
    <row r="271" spans="1:14" x14ac:dyDescent="0.3">
      <c r="A271" t="s">
        <v>286</v>
      </c>
      <c r="B271" s="6" t="str">
        <f>HYPERLINK("https://mennonite.britecorepro.com/gateway?file=core.router&amp;method=routeEntity&amp;entity_type=policy&amp;entity_number=12-0 T 02B", "12-0 T 02B")</f>
        <v>12-0 T 02B</v>
      </c>
      <c r="C271" s="6" t="s">
        <v>405</v>
      </c>
      <c r="D271" t="s">
        <v>12</v>
      </c>
      <c r="E271" s="1">
        <v>45594</v>
      </c>
      <c r="F271" s="1">
        <v>45959</v>
      </c>
      <c r="G271">
        <v>659000</v>
      </c>
      <c r="H271">
        <v>24000</v>
      </c>
      <c r="I271">
        <v>329500</v>
      </c>
      <c r="J271">
        <v>500000</v>
      </c>
      <c r="K271" s="2">
        <f t="shared" si="4"/>
        <v>1012500</v>
      </c>
      <c r="L271" s="2">
        <v>2550</v>
      </c>
      <c r="M271">
        <v>2440</v>
      </c>
      <c r="N271">
        <v>110</v>
      </c>
    </row>
    <row r="272" spans="1:14" x14ac:dyDescent="0.3">
      <c r="A272" t="s">
        <v>397</v>
      </c>
      <c r="B272" s="6" t="str">
        <f>HYPERLINK("https://mennonite.britecorepro.com/gateway?file=core.router&amp;method=routeEntity&amp;entity_type=policy&amp;entity_number=14-0 M 02", "14-0 M 02")</f>
        <v>14-0 M 02</v>
      </c>
      <c r="C272" s="6" t="s">
        <v>405</v>
      </c>
      <c r="D272" t="s">
        <v>12</v>
      </c>
      <c r="E272" s="1">
        <v>45566</v>
      </c>
      <c r="F272" s="1">
        <v>45931</v>
      </c>
      <c r="G272">
        <v>604000</v>
      </c>
      <c r="I272">
        <v>302000</v>
      </c>
      <c r="J272">
        <v>300000</v>
      </c>
      <c r="K272" s="2">
        <f t="shared" si="4"/>
        <v>906000</v>
      </c>
      <c r="L272" s="2">
        <v>983</v>
      </c>
      <c r="M272">
        <v>903</v>
      </c>
      <c r="N272">
        <v>80</v>
      </c>
    </row>
    <row r="273" spans="1:14" x14ac:dyDescent="0.3">
      <c r="A273" t="s">
        <v>148</v>
      </c>
      <c r="B273" s="6" t="str">
        <f>HYPERLINK("https://mennonite.britecorepro.com/gateway?file=core.router&amp;method=routeEntity&amp;entity_type=policy&amp;entity_number=14-0 S 20", "14-0 S 20")</f>
        <v>14-0 S 20</v>
      </c>
      <c r="C273" s="6" t="s">
        <v>405</v>
      </c>
      <c r="D273" t="s">
        <v>12</v>
      </c>
      <c r="E273" s="1">
        <v>45627</v>
      </c>
      <c r="F273" s="1">
        <v>45992</v>
      </c>
      <c r="G273">
        <v>1023000</v>
      </c>
      <c r="I273">
        <v>511500</v>
      </c>
      <c r="J273">
        <v>500000</v>
      </c>
      <c r="K273" s="2">
        <f t="shared" si="4"/>
        <v>1534500</v>
      </c>
      <c r="L273" s="2">
        <v>2024</v>
      </c>
      <c r="M273">
        <v>1914</v>
      </c>
      <c r="N273">
        <v>110</v>
      </c>
    </row>
    <row r="274" spans="1:14" x14ac:dyDescent="0.3">
      <c r="A274" t="s">
        <v>134</v>
      </c>
      <c r="B274" s="6" t="str">
        <f>HYPERLINK("https://mennonite.britecorepro.com/gateway?file=core.router&amp;method=routeEntity&amp;entity_type=policy&amp;entity_number=15-0 C 09", "15-0 C 09")</f>
        <v>15-0 C 09</v>
      </c>
      <c r="C274" s="6" t="s">
        <v>405</v>
      </c>
      <c r="D274" t="s">
        <v>68</v>
      </c>
      <c r="E274" s="1">
        <v>45630</v>
      </c>
      <c r="F274" s="1">
        <v>45995</v>
      </c>
      <c r="I274">
        <v>50000</v>
      </c>
      <c r="K274" s="2">
        <f t="shared" si="4"/>
        <v>50000</v>
      </c>
      <c r="L274" s="2">
        <v>132</v>
      </c>
      <c r="M274">
        <v>132</v>
      </c>
    </row>
    <row r="275" spans="1:14" x14ac:dyDescent="0.3">
      <c r="A275" t="s">
        <v>97</v>
      </c>
      <c r="B275" s="6" t="str">
        <f>HYPERLINK("https://mennonite.britecorepro.com/gateway?file=core.router&amp;method=routeEntity&amp;entity_type=policy&amp;entity_number=15-0 G 04E", "15-0 G 04E")</f>
        <v>15-0 G 04E</v>
      </c>
      <c r="C275" s="6" t="s">
        <v>405</v>
      </c>
      <c r="D275" t="s">
        <v>16</v>
      </c>
      <c r="E275" s="1">
        <v>45639</v>
      </c>
      <c r="F275" s="1">
        <v>46004</v>
      </c>
      <c r="G275">
        <v>341000</v>
      </c>
      <c r="I275">
        <v>1000</v>
      </c>
      <c r="K275" s="2">
        <f t="shared" si="4"/>
        <v>342000</v>
      </c>
      <c r="L275" s="2">
        <v>702</v>
      </c>
      <c r="M275">
        <v>702</v>
      </c>
    </row>
    <row r="276" spans="1:14" x14ac:dyDescent="0.3">
      <c r="A276" t="s">
        <v>235</v>
      </c>
      <c r="B276" s="6" t="str">
        <f>HYPERLINK("https://mennonite.britecorepro.com/gateway?file=core.router&amp;method=routeEntity&amp;entity_type=policy&amp;entity_number=15-0 K 10", "15-0 K 10")</f>
        <v>15-0 K 10</v>
      </c>
      <c r="C276" s="6" t="s">
        <v>405</v>
      </c>
      <c r="D276" t="s">
        <v>12</v>
      </c>
      <c r="E276" s="1">
        <v>45606</v>
      </c>
      <c r="F276" s="1">
        <v>45971</v>
      </c>
      <c r="G276">
        <v>1080000</v>
      </c>
      <c r="I276">
        <v>540000</v>
      </c>
      <c r="J276">
        <v>300000</v>
      </c>
      <c r="K276" s="2">
        <f t="shared" si="4"/>
        <v>1620000</v>
      </c>
      <c r="L276" s="2">
        <v>2052</v>
      </c>
      <c r="M276">
        <v>1972</v>
      </c>
      <c r="N276">
        <v>80</v>
      </c>
    </row>
    <row r="277" spans="1:14" x14ac:dyDescent="0.3">
      <c r="A277" t="s">
        <v>77</v>
      </c>
      <c r="B277" s="6" t="str">
        <f>HYPERLINK("https://mennonite.britecorepro.com/gateway?file=core.router&amp;method=routeEntity&amp;entity_type=policy&amp;entity_number=18-0 B 04C", "18-0 B 04C")</f>
        <v>18-0 B 04C</v>
      </c>
      <c r="C277" s="6" t="s">
        <v>405</v>
      </c>
      <c r="D277" t="s">
        <v>12</v>
      </c>
      <c r="E277" s="1">
        <v>45645</v>
      </c>
      <c r="F277" s="1">
        <v>46010</v>
      </c>
      <c r="G277">
        <v>866000</v>
      </c>
      <c r="I277">
        <v>433000</v>
      </c>
      <c r="J277">
        <v>300000</v>
      </c>
      <c r="K277" s="2">
        <f t="shared" si="4"/>
        <v>1299000</v>
      </c>
      <c r="L277" s="2">
        <v>3859</v>
      </c>
      <c r="M277">
        <v>3779</v>
      </c>
      <c r="N277">
        <v>80</v>
      </c>
    </row>
    <row r="278" spans="1:14" x14ac:dyDescent="0.3">
      <c r="A278" t="s">
        <v>381</v>
      </c>
      <c r="B278" s="6" t="str">
        <f>HYPERLINK("https://mennonite.britecorepro.com/gateway?file=core.router&amp;method=routeEntity&amp;entity_type=policy&amp;entity_number=18-0 C 23", "18-0 C 23")</f>
        <v>18-0 C 23</v>
      </c>
      <c r="C278" s="6" t="s">
        <v>405</v>
      </c>
      <c r="D278" t="s">
        <v>68</v>
      </c>
      <c r="E278" s="1">
        <v>45569</v>
      </c>
      <c r="F278" s="1">
        <v>45934</v>
      </c>
      <c r="G278">
        <v>616000</v>
      </c>
      <c r="H278">
        <v>112000</v>
      </c>
      <c r="I278">
        <v>65000</v>
      </c>
      <c r="K278" s="2">
        <f t="shared" si="4"/>
        <v>793000</v>
      </c>
      <c r="L278" s="2">
        <v>1546</v>
      </c>
      <c r="M278">
        <v>1546</v>
      </c>
    </row>
    <row r="279" spans="1:14" x14ac:dyDescent="0.3">
      <c r="A279" t="s">
        <v>190</v>
      </c>
      <c r="B279" s="6" t="str">
        <f>HYPERLINK("https://mennonite.britecorepro.com/gateway?file=core.router&amp;method=routeEntity&amp;entity_type=policy&amp;entity_number=18-0 L 01", "18-0 L 01")</f>
        <v>18-0 L 01</v>
      </c>
      <c r="C279" s="6" t="s">
        <v>405</v>
      </c>
      <c r="D279" t="s">
        <v>12</v>
      </c>
      <c r="E279" s="1">
        <v>45617</v>
      </c>
      <c r="F279" s="1">
        <v>45982</v>
      </c>
      <c r="G279">
        <v>1051000</v>
      </c>
      <c r="I279">
        <v>525500</v>
      </c>
      <c r="J279">
        <v>500000</v>
      </c>
      <c r="K279" s="2">
        <f t="shared" si="4"/>
        <v>1576500</v>
      </c>
      <c r="L279" s="2">
        <v>2082</v>
      </c>
      <c r="M279">
        <v>1972</v>
      </c>
      <c r="N279">
        <v>110</v>
      </c>
    </row>
    <row r="280" spans="1:14" x14ac:dyDescent="0.3">
      <c r="A280" t="s">
        <v>199</v>
      </c>
      <c r="B280" s="6" t="str">
        <f>HYPERLINK("https://mennonite.britecorepro.com/gateway?file=core.router&amp;method=routeEntity&amp;entity_type=policy&amp;entity_number=18-0 Q 08A", "18-0 Q 08A")</f>
        <v>18-0 Q 08A</v>
      </c>
      <c r="C280" s="6" t="s">
        <v>405</v>
      </c>
      <c r="D280" t="s">
        <v>12</v>
      </c>
      <c r="E280" s="1">
        <v>45615</v>
      </c>
      <c r="F280" s="1">
        <v>45980</v>
      </c>
      <c r="G280">
        <v>727000</v>
      </c>
      <c r="I280">
        <v>363500</v>
      </c>
      <c r="J280">
        <v>300000</v>
      </c>
      <c r="K280" s="2">
        <f t="shared" si="4"/>
        <v>1090500</v>
      </c>
      <c r="L280" s="2">
        <v>1361</v>
      </c>
      <c r="M280">
        <v>1281</v>
      </c>
      <c r="N280">
        <v>80</v>
      </c>
    </row>
    <row r="281" spans="1:14" x14ac:dyDescent="0.3">
      <c r="A281" t="s">
        <v>179</v>
      </c>
      <c r="B281" s="6" t="str">
        <f>HYPERLINK("https://mennonite.britecorepro.com/gateway?file=core.router&amp;method=routeEntity&amp;entity_type=policy&amp;entity_number=18-0 R 03", "18-0 R 03")</f>
        <v>18-0 R 03</v>
      </c>
      <c r="C281" s="6" t="s">
        <v>405</v>
      </c>
      <c r="D281" t="s">
        <v>12</v>
      </c>
      <c r="E281" s="1">
        <v>45620</v>
      </c>
      <c r="F281" s="1">
        <v>45985</v>
      </c>
      <c r="G281">
        <v>1157000</v>
      </c>
      <c r="I281">
        <v>578500</v>
      </c>
      <c r="J281">
        <v>500000</v>
      </c>
      <c r="K281" s="2">
        <f t="shared" si="4"/>
        <v>1735500</v>
      </c>
      <c r="L281" s="2">
        <v>2289</v>
      </c>
      <c r="M281">
        <v>2179</v>
      </c>
      <c r="N281">
        <v>110</v>
      </c>
    </row>
    <row r="282" spans="1:14" x14ac:dyDescent="0.3">
      <c r="A282" t="s">
        <v>180</v>
      </c>
      <c r="B282" s="6" t="str">
        <f>HYPERLINK("https://mennonite.britecorepro.com/gateway?file=core.router&amp;method=routeEntity&amp;entity_type=policy&amp;entity_number=18-0 R 03A", "18-0 R 03A")</f>
        <v>18-0 R 03A</v>
      </c>
      <c r="C282" s="6" t="s">
        <v>405</v>
      </c>
      <c r="D282" t="s">
        <v>66</v>
      </c>
      <c r="E282" s="1">
        <v>45620</v>
      </c>
      <c r="F282" s="1">
        <v>45985</v>
      </c>
      <c r="G282">
        <v>321000</v>
      </c>
      <c r="I282">
        <v>96300</v>
      </c>
      <c r="J282">
        <v>500000</v>
      </c>
      <c r="K282" s="2">
        <f t="shared" si="4"/>
        <v>417300</v>
      </c>
      <c r="L282" s="2">
        <v>799</v>
      </c>
      <c r="M282">
        <v>769</v>
      </c>
      <c r="N282">
        <v>30</v>
      </c>
    </row>
    <row r="283" spans="1:14" x14ac:dyDescent="0.3">
      <c r="A283" t="s">
        <v>213</v>
      </c>
      <c r="B283" s="6" t="str">
        <f>HYPERLINK("https://mennonite.britecorepro.com/gateway?file=core.router&amp;method=routeEntity&amp;entity_type=policy&amp;entity_number=MENAID-2020-1001", "MENAID-2020-1001")</f>
        <v>MENAID-2020-1001</v>
      </c>
      <c r="C283" s="6" t="s">
        <v>405</v>
      </c>
      <c r="D283" t="s">
        <v>68</v>
      </c>
      <c r="E283" s="1">
        <v>45612</v>
      </c>
      <c r="F283" s="1">
        <v>45977</v>
      </c>
      <c r="G283">
        <v>2884000</v>
      </c>
      <c r="I283">
        <v>289000</v>
      </c>
      <c r="K283" s="2">
        <f t="shared" si="4"/>
        <v>3173000</v>
      </c>
      <c r="L283" s="2">
        <v>4488</v>
      </c>
      <c r="M283">
        <v>4488</v>
      </c>
    </row>
    <row r="284" spans="1:14" x14ac:dyDescent="0.3">
      <c r="A284" t="s">
        <v>297</v>
      </c>
      <c r="B284" s="6" t="str">
        <f>HYPERLINK("https://mennonite.britecorepro.com/gateway?file=core.router&amp;method=routeEntity&amp;entity_type=policy&amp;entity_number=MENAID-2021-1033", "MENAID-2021-1033")</f>
        <v>MENAID-2021-1033</v>
      </c>
      <c r="C284" s="6" t="s">
        <v>405</v>
      </c>
      <c r="D284" t="s">
        <v>16</v>
      </c>
      <c r="E284" s="1">
        <v>45592</v>
      </c>
      <c r="F284" s="1">
        <v>45957</v>
      </c>
      <c r="G284">
        <v>183000</v>
      </c>
      <c r="I284">
        <v>1000</v>
      </c>
      <c r="J284">
        <v>500000</v>
      </c>
      <c r="K284" s="2">
        <f t="shared" si="4"/>
        <v>184000</v>
      </c>
      <c r="L284" s="2">
        <v>605</v>
      </c>
      <c r="M284">
        <v>565</v>
      </c>
      <c r="N284">
        <v>40</v>
      </c>
    </row>
    <row r="285" spans="1:14" x14ac:dyDescent="0.3">
      <c r="A285" t="s">
        <v>351</v>
      </c>
      <c r="B285" s="6" t="str">
        <f>HYPERLINK("https://mennonite.britecorepro.com/gateway?file=core.router&amp;method=routeEntity&amp;entity_type=policy&amp;entity_number=MENAID-2021-1063", "MENAID-2021-1063")</f>
        <v>MENAID-2021-1063</v>
      </c>
      <c r="C285" s="6" t="s">
        <v>405</v>
      </c>
      <c r="D285" t="s">
        <v>16</v>
      </c>
      <c r="E285" s="1">
        <v>45578</v>
      </c>
      <c r="F285" s="1">
        <v>45943</v>
      </c>
      <c r="G285">
        <v>419000</v>
      </c>
      <c r="I285">
        <v>1000</v>
      </c>
      <c r="J285">
        <v>500000</v>
      </c>
      <c r="K285" s="2">
        <f t="shared" si="4"/>
        <v>420000</v>
      </c>
      <c r="L285" s="2">
        <v>896</v>
      </c>
      <c r="M285">
        <v>856</v>
      </c>
      <c r="N285">
        <v>40</v>
      </c>
    </row>
    <row r="286" spans="1:14" x14ac:dyDescent="0.3">
      <c r="A286" t="s">
        <v>371</v>
      </c>
      <c r="B286" s="6" t="str">
        <f>HYPERLINK("https://mennonite.britecorepro.com/gateway?file=core.router&amp;method=routeEntity&amp;entity_type=policy&amp;entity_number=MENAID-2021-1090", "MENAID-2021-1090")</f>
        <v>MENAID-2021-1090</v>
      </c>
      <c r="C286" s="6" t="s">
        <v>405</v>
      </c>
      <c r="D286" t="s">
        <v>12</v>
      </c>
      <c r="E286" s="1">
        <v>45572</v>
      </c>
      <c r="F286" s="1">
        <v>45937</v>
      </c>
      <c r="G286">
        <v>755000</v>
      </c>
      <c r="I286">
        <v>377500</v>
      </c>
      <c r="J286">
        <v>300000</v>
      </c>
      <c r="K286" s="2">
        <f t="shared" si="4"/>
        <v>1132500</v>
      </c>
      <c r="L286" s="2">
        <v>2012</v>
      </c>
      <c r="M286">
        <v>1932</v>
      </c>
      <c r="N286">
        <v>80</v>
      </c>
    </row>
    <row r="287" spans="1:14" x14ac:dyDescent="0.3">
      <c r="A287" t="s">
        <v>172</v>
      </c>
      <c r="B287" s="6" t="str">
        <f>HYPERLINK("https://mennonite.britecorepro.com/gateway?file=core.router&amp;method=routeEntity&amp;entity_type=policy&amp;entity_number=MENAID-2021-1091", "MENAID-2021-1091")</f>
        <v>MENAID-2021-1091</v>
      </c>
      <c r="C287" s="6" t="s">
        <v>405</v>
      </c>
      <c r="D287" t="s">
        <v>12</v>
      </c>
      <c r="E287" s="1">
        <v>45621</v>
      </c>
      <c r="F287" s="1">
        <v>45986</v>
      </c>
      <c r="G287">
        <v>483000</v>
      </c>
      <c r="I287">
        <v>241500</v>
      </c>
      <c r="J287">
        <v>500000</v>
      </c>
      <c r="K287" s="2">
        <f t="shared" si="4"/>
        <v>724500</v>
      </c>
      <c r="L287" s="2">
        <v>751</v>
      </c>
      <c r="M287">
        <v>641</v>
      </c>
      <c r="N287">
        <v>110</v>
      </c>
    </row>
    <row r="288" spans="1:14" x14ac:dyDescent="0.3">
      <c r="A288" t="s">
        <v>46</v>
      </c>
      <c r="B288" s="6" t="str">
        <f>HYPERLINK("https://mennonite.britecorepro.com/gateway?file=core.router&amp;method=routeEntity&amp;entity_type=policy&amp;entity_number=MENAID-2021-1095", "MENAID-2021-1095")</f>
        <v>MENAID-2021-1095</v>
      </c>
      <c r="C288" s="6" t="s">
        <v>405</v>
      </c>
      <c r="D288" t="s">
        <v>12</v>
      </c>
      <c r="E288" s="1">
        <v>45649</v>
      </c>
      <c r="F288" s="1">
        <v>46014</v>
      </c>
      <c r="G288">
        <v>446000</v>
      </c>
      <c r="I288">
        <v>223000</v>
      </c>
      <c r="J288">
        <v>500000</v>
      </c>
      <c r="K288" s="2">
        <f t="shared" si="4"/>
        <v>669000</v>
      </c>
      <c r="L288" s="2">
        <v>809</v>
      </c>
      <c r="M288">
        <v>699</v>
      </c>
      <c r="N288">
        <v>110</v>
      </c>
    </row>
    <row r="289" spans="1:14" x14ac:dyDescent="0.3">
      <c r="A289" t="s">
        <v>116</v>
      </c>
      <c r="B289" s="6" t="str">
        <f>HYPERLINK("https://mennonite.britecorepro.com/gateway?file=core.router&amp;method=routeEntity&amp;entity_type=policy&amp;entity_number=MENAID-2021-1098", "MENAID-2021-1098")</f>
        <v>MENAID-2021-1098</v>
      </c>
      <c r="C289" s="6" t="s">
        <v>405</v>
      </c>
      <c r="D289" t="s">
        <v>12</v>
      </c>
      <c r="E289" s="1">
        <v>45634</v>
      </c>
      <c r="F289" s="1">
        <v>45999</v>
      </c>
      <c r="G289">
        <v>433000</v>
      </c>
      <c r="I289">
        <v>216500</v>
      </c>
      <c r="J289">
        <v>500000</v>
      </c>
      <c r="K289" s="2">
        <f t="shared" si="4"/>
        <v>649500</v>
      </c>
      <c r="L289" s="2">
        <v>1121</v>
      </c>
      <c r="M289">
        <v>1011</v>
      </c>
      <c r="N289">
        <v>110</v>
      </c>
    </row>
    <row r="290" spans="1:14" x14ac:dyDescent="0.3">
      <c r="A290" t="s">
        <v>347</v>
      </c>
      <c r="B290" s="6" t="str">
        <f>HYPERLINK("https://mennonite.britecorepro.com/gateway?file=core.router&amp;method=routeEntity&amp;entity_type=policy&amp;entity_number=MENAID-2021-1099", "MENAID-2021-1099")</f>
        <v>MENAID-2021-1099</v>
      </c>
      <c r="C290" s="6" t="s">
        <v>405</v>
      </c>
      <c r="D290" t="s">
        <v>12</v>
      </c>
      <c r="E290" s="1">
        <v>45579</v>
      </c>
      <c r="F290" s="1">
        <v>45944</v>
      </c>
      <c r="G290">
        <v>464000</v>
      </c>
      <c r="I290">
        <v>232000</v>
      </c>
      <c r="J290">
        <v>300000</v>
      </c>
      <c r="K290" s="2">
        <f t="shared" si="4"/>
        <v>696000</v>
      </c>
      <c r="L290" s="2">
        <v>698</v>
      </c>
      <c r="M290">
        <v>618</v>
      </c>
      <c r="N290">
        <v>80</v>
      </c>
    </row>
    <row r="291" spans="1:14" x14ac:dyDescent="0.3">
      <c r="A291" t="s">
        <v>377</v>
      </c>
      <c r="B291" s="6" t="str">
        <f>HYPERLINK("https://mennonite.britecorepro.com/gateway?file=core.router&amp;method=routeEntity&amp;entity_type=policy&amp;entity_number=MENAID-2021-1101", "MENAID-2021-1101")</f>
        <v>MENAID-2021-1101</v>
      </c>
      <c r="C291" s="6" t="s">
        <v>405</v>
      </c>
      <c r="D291" t="s">
        <v>16</v>
      </c>
      <c r="E291" s="1">
        <v>45570</v>
      </c>
      <c r="F291" s="1">
        <v>45935</v>
      </c>
      <c r="G291">
        <v>750000</v>
      </c>
      <c r="I291">
        <v>1000</v>
      </c>
      <c r="J291">
        <v>300000</v>
      </c>
      <c r="K291" s="2">
        <f t="shared" si="4"/>
        <v>751000</v>
      </c>
      <c r="L291" s="2">
        <v>1507</v>
      </c>
      <c r="M291">
        <v>1477</v>
      </c>
      <c r="N291">
        <v>30</v>
      </c>
    </row>
    <row r="292" spans="1:14" x14ac:dyDescent="0.3">
      <c r="A292" t="s">
        <v>287</v>
      </c>
      <c r="B292" s="6" t="str">
        <f>HYPERLINK("https://mennonite.britecorepro.com/gateway?file=core.router&amp;method=routeEntity&amp;entity_type=policy&amp;entity_number=MENAID-2021-1106", "MENAID-2021-1106")</f>
        <v>MENAID-2021-1106</v>
      </c>
      <c r="C292" s="6" t="s">
        <v>405</v>
      </c>
      <c r="D292" t="s">
        <v>12</v>
      </c>
      <c r="E292" s="1">
        <v>45594</v>
      </c>
      <c r="F292" s="1">
        <v>45959</v>
      </c>
      <c r="G292">
        <v>50000</v>
      </c>
      <c r="I292">
        <v>40000</v>
      </c>
      <c r="J292">
        <v>300000</v>
      </c>
      <c r="K292" s="2">
        <f t="shared" si="4"/>
        <v>90000</v>
      </c>
      <c r="L292" s="2">
        <v>220</v>
      </c>
      <c r="M292">
        <v>140</v>
      </c>
      <c r="N292">
        <v>80</v>
      </c>
    </row>
    <row r="293" spans="1:14" x14ac:dyDescent="0.3">
      <c r="A293" t="s">
        <v>236</v>
      </c>
      <c r="B293" s="6" t="str">
        <f>HYPERLINK("https://mennonite.britecorepro.com/gateway?file=core.router&amp;method=routeEntity&amp;entity_type=policy&amp;entity_number=MENAID-2021-1111", "MENAID-2021-1111")</f>
        <v>MENAID-2021-1111</v>
      </c>
      <c r="C293" s="6" t="s">
        <v>405</v>
      </c>
      <c r="D293" t="s">
        <v>12</v>
      </c>
      <c r="E293" s="1">
        <v>45606</v>
      </c>
      <c r="F293" s="1">
        <v>45971</v>
      </c>
      <c r="G293">
        <v>403000</v>
      </c>
      <c r="I293">
        <v>201500</v>
      </c>
      <c r="J293">
        <v>300000</v>
      </c>
      <c r="K293" s="2">
        <f t="shared" si="4"/>
        <v>604500</v>
      </c>
      <c r="L293" s="2">
        <v>878</v>
      </c>
      <c r="M293">
        <v>798</v>
      </c>
      <c r="N293">
        <v>80</v>
      </c>
    </row>
    <row r="294" spans="1:14" x14ac:dyDescent="0.3">
      <c r="A294" t="s">
        <v>140</v>
      </c>
      <c r="B294" s="6" t="str">
        <f>HYPERLINK("https://mennonite.britecorepro.com/gateway?file=core.router&amp;method=routeEntity&amp;entity_type=policy&amp;entity_number=MENAID-2021-1114", "MENAID-2021-1114")</f>
        <v>MENAID-2021-1114</v>
      </c>
      <c r="C294" s="6" t="s">
        <v>405</v>
      </c>
      <c r="D294" t="s">
        <v>12</v>
      </c>
      <c r="E294" s="1">
        <v>45628</v>
      </c>
      <c r="F294" s="1">
        <v>45993</v>
      </c>
      <c r="G294">
        <v>522000</v>
      </c>
      <c r="I294">
        <v>261000</v>
      </c>
      <c r="J294">
        <v>500000</v>
      </c>
      <c r="K294" s="2">
        <f t="shared" si="4"/>
        <v>783000</v>
      </c>
      <c r="L294" s="2">
        <v>1008</v>
      </c>
      <c r="M294">
        <v>898</v>
      </c>
      <c r="N294">
        <v>110</v>
      </c>
    </row>
    <row r="295" spans="1:14" x14ac:dyDescent="0.3">
      <c r="A295" t="s">
        <v>228</v>
      </c>
      <c r="B295" s="6" t="str">
        <f>HYPERLINK("https://mennonite.britecorepro.com/gateway?file=core.router&amp;method=routeEntity&amp;entity_type=policy&amp;entity_number=MENAID-2021-1121", "MENAID-2021-1121")</f>
        <v>MENAID-2021-1121</v>
      </c>
      <c r="C295" s="6" t="s">
        <v>405</v>
      </c>
      <c r="D295" t="s">
        <v>12</v>
      </c>
      <c r="E295" s="1">
        <v>45608</v>
      </c>
      <c r="F295" s="1">
        <v>45973</v>
      </c>
      <c r="G295">
        <v>505000</v>
      </c>
      <c r="I295">
        <v>252500</v>
      </c>
      <c r="J295">
        <v>300000</v>
      </c>
      <c r="K295" s="2">
        <f t="shared" si="4"/>
        <v>757500</v>
      </c>
      <c r="L295" s="2">
        <v>832</v>
      </c>
      <c r="M295">
        <v>752</v>
      </c>
      <c r="N295">
        <v>80</v>
      </c>
    </row>
    <row r="296" spans="1:14" x14ac:dyDescent="0.3">
      <c r="A296" t="s">
        <v>163</v>
      </c>
      <c r="B296" s="6" t="str">
        <f>HYPERLINK("https://mennonite.britecorepro.com/gateway?file=core.router&amp;method=routeEntity&amp;entity_type=policy&amp;entity_number=MENAID-2021-1133", "MENAID-2021-1133")</f>
        <v>MENAID-2021-1133</v>
      </c>
      <c r="C296" s="6" t="s">
        <v>405</v>
      </c>
      <c r="D296" t="s">
        <v>66</v>
      </c>
      <c r="E296" s="1">
        <v>45623</v>
      </c>
      <c r="F296" s="1">
        <v>45988</v>
      </c>
      <c r="G296">
        <v>651000</v>
      </c>
      <c r="I296">
        <v>195300</v>
      </c>
      <c r="J296">
        <v>500000</v>
      </c>
      <c r="K296" s="2">
        <f t="shared" si="4"/>
        <v>846300</v>
      </c>
      <c r="L296" s="2">
        <v>972</v>
      </c>
      <c r="M296">
        <v>942</v>
      </c>
      <c r="N296">
        <v>30</v>
      </c>
    </row>
    <row r="297" spans="1:14" x14ac:dyDescent="0.3">
      <c r="A297" t="s">
        <v>149</v>
      </c>
      <c r="B297" s="6" t="str">
        <f>HYPERLINK("https://mennonite.britecorepro.com/gateway?file=core.router&amp;method=routeEntity&amp;entity_type=policy&amp;entity_number=MENAID-2021-1139", "MENAID-2021-1139")</f>
        <v>MENAID-2021-1139</v>
      </c>
      <c r="C297" s="6" t="s">
        <v>405</v>
      </c>
      <c r="D297" t="s">
        <v>16</v>
      </c>
      <c r="E297" s="1">
        <v>45627</v>
      </c>
      <c r="F297" s="1">
        <v>45992</v>
      </c>
      <c r="G297">
        <v>690000</v>
      </c>
      <c r="I297">
        <v>1000</v>
      </c>
      <c r="K297" s="2">
        <f t="shared" si="4"/>
        <v>691000</v>
      </c>
      <c r="L297" s="2">
        <v>2906</v>
      </c>
      <c r="M297">
        <v>2906</v>
      </c>
    </row>
    <row r="298" spans="1:14" x14ac:dyDescent="0.3">
      <c r="A298" t="s">
        <v>141</v>
      </c>
      <c r="B298" s="6" t="str">
        <f>HYPERLINK("https://mennonite.britecorepro.com/gateway?file=core.router&amp;method=routeEntity&amp;entity_type=policy&amp;entity_number=MENAID-2021-1141", "MENAID-2021-1141")</f>
        <v>MENAID-2021-1141</v>
      </c>
      <c r="C298" s="6" t="s">
        <v>405</v>
      </c>
      <c r="D298" t="s">
        <v>28</v>
      </c>
      <c r="E298" s="1">
        <v>45628</v>
      </c>
      <c r="F298" s="1">
        <v>45993</v>
      </c>
      <c r="I298">
        <v>35000</v>
      </c>
      <c r="J298">
        <v>300000</v>
      </c>
      <c r="K298" s="2">
        <f t="shared" si="4"/>
        <v>35000</v>
      </c>
      <c r="L298" s="2">
        <v>176</v>
      </c>
      <c r="M298">
        <v>96</v>
      </c>
      <c r="N298">
        <v>80</v>
      </c>
    </row>
    <row r="299" spans="1:14" x14ac:dyDescent="0.3">
      <c r="A299" t="s">
        <v>84</v>
      </c>
      <c r="B299" s="6" t="str">
        <f>HYPERLINK("https://mennonite.britecorepro.com/gateway?file=core.router&amp;method=routeEntity&amp;entity_type=policy&amp;entity_number=MENAID-2021-1143", "MENAID-2021-1143")</f>
        <v>MENAID-2021-1143</v>
      </c>
      <c r="C299" s="6" t="s">
        <v>405</v>
      </c>
      <c r="D299" t="s">
        <v>12</v>
      </c>
      <c r="E299" s="1">
        <v>45643</v>
      </c>
      <c r="F299" s="1">
        <v>46008</v>
      </c>
      <c r="G299">
        <v>370000</v>
      </c>
      <c r="I299">
        <v>185000</v>
      </c>
      <c r="J299">
        <v>500000</v>
      </c>
      <c r="K299" s="2">
        <f t="shared" si="4"/>
        <v>555000</v>
      </c>
      <c r="L299" s="2">
        <v>504</v>
      </c>
      <c r="M299">
        <v>394</v>
      </c>
      <c r="N299">
        <v>110</v>
      </c>
    </row>
    <row r="300" spans="1:14" x14ac:dyDescent="0.3">
      <c r="A300" t="s">
        <v>181</v>
      </c>
      <c r="B300" s="6" t="str">
        <f>HYPERLINK("https://mennonite.britecorepro.com/gateway?file=core.router&amp;method=routeEntity&amp;entity_type=policy&amp;entity_number=MENAID-2021-1146", "MENAID-2021-1146")</f>
        <v>MENAID-2021-1146</v>
      </c>
      <c r="C300" s="6" t="s">
        <v>405</v>
      </c>
      <c r="D300" t="s">
        <v>28</v>
      </c>
      <c r="E300" s="1">
        <v>45620</v>
      </c>
      <c r="F300" s="1">
        <v>45985</v>
      </c>
      <c r="I300">
        <v>50000</v>
      </c>
      <c r="J300">
        <v>300000</v>
      </c>
      <c r="K300" s="2">
        <f t="shared" si="4"/>
        <v>50000</v>
      </c>
      <c r="L300" s="2">
        <v>227</v>
      </c>
      <c r="M300">
        <v>147</v>
      </c>
      <c r="N300">
        <v>80</v>
      </c>
    </row>
    <row r="301" spans="1:14" x14ac:dyDescent="0.3">
      <c r="A301" t="s">
        <v>182</v>
      </c>
      <c r="B301" s="6" t="str">
        <f>HYPERLINK("https://mennonite.britecorepro.com/gateway?file=core.router&amp;method=routeEntity&amp;entity_type=policy&amp;entity_number=MENAID-2021-1147", "MENAID-2021-1147")</f>
        <v>MENAID-2021-1147</v>
      </c>
      <c r="C301" s="6" t="s">
        <v>405</v>
      </c>
      <c r="D301" t="s">
        <v>16</v>
      </c>
      <c r="E301" s="1">
        <v>45620</v>
      </c>
      <c r="F301" s="1">
        <v>45985</v>
      </c>
      <c r="G301">
        <v>494000</v>
      </c>
      <c r="I301">
        <v>2000</v>
      </c>
      <c r="J301">
        <v>300000</v>
      </c>
      <c r="K301" s="2">
        <f t="shared" si="4"/>
        <v>496000</v>
      </c>
      <c r="L301" s="2">
        <v>1072</v>
      </c>
      <c r="M301">
        <v>1042</v>
      </c>
      <c r="N301">
        <v>30</v>
      </c>
    </row>
    <row r="302" spans="1:14" x14ac:dyDescent="0.3">
      <c r="A302" t="s">
        <v>85</v>
      </c>
      <c r="B302" s="6" t="str">
        <f>HYPERLINK("https://mennonite.britecorepro.com/gateway?file=core.router&amp;method=routeEntity&amp;entity_type=policy&amp;entity_number=MENAID-2021-1149", "MENAID-2021-1149")</f>
        <v>MENAID-2021-1149</v>
      </c>
      <c r="C302" s="6" t="s">
        <v>405</v>
      </c>
      <c r="D302" t="s">
        <v>28</v>
      </c>
      <c r="E302" s="1">
        <v>45643</v>
      </c>
      <c r="F302" s="1">
        <v>46008</v>
      </c>
      <c r="I302">
        <v>35000</v>
      </c>
      <c r="J302">
        <v>300000</v>
      </c>
      <c r="K302" s="2">
        <f t="shared" si="4"/>
        <v>35000</v>
      </c>
      <c r="L302" s="2">
        <v>171</v>
      </c>
      <c r="M302">
        <v>91</v>
      </c>
      <c r="N302">
        <v>80</v>
      </c>
    </row>
    <row r="303" spans="1:14" x14ac:dyDescent="0.3">
      <c r="A303" t="s">
        <v>86</v>
      </c>
      <c r="B303" s="6" t="str">
        <f>HYPERLINK("https://mennonite.britecorepro.com/gateway?file=core.router&amp;method=routeEntity&amp;entity_type=policy&amp;entity_number=MENAID-2021-1150", "MENAID-2021-1150")</f>
        <v>MENAID-2021-1150</v>
      </c>
      <c r="C303" s="6" t="s">
        <v>405</v>
      </c>
      <c r="D303" t="s">
        <v>16</v>
      </c>
      <c r="E303" s="1">
        <v>45643</v>
      </c>
      <c r="F303" s="1">
        <v>46008</v>
      </c>
      <c r="G303">
        <v>398000</v>
      </c>
      <c r="I303">
        <v>1000</v>
      </c>
      <c r="J303">
        <v>300000</v>
      </c>
      <c r="K303" s="2">
        <f t="shared" si="4"/>
        <v>399000</v>
      </c>
      <c r="L303" s="2">
        <v>1299</v>
      </c>
      <c r="M303">
        <v>1269</v>
      </c>
      <c r="N303">
        <v>30</v>
      </c>
    </row>
    <row r="304" spans="1:14" x14ac:dyDescent="0.3">
      <c r="A304" t="s">
        <v>142</v>
      </c>
      <c r="B304" s="6" t="str">
        <f>HYPERLINK("https://mennonite.britecorepro.com/gateway?file=core.router&amp;method=routeEntity&amp;entity_type=policy&amp;entity_number=MENAID-2021-1152", "MENAID-2021-1152")</f>
        <v>MENAID-2021-1152</v>
      </c>
      <c r="C304" s="6" t="s">
        <v>405</v>
      </c>
      <c r="D304" t="s">
        <v>12</v>
      </c>
      <c r="E304" s="1">
        <v>45628</v>
      </c>
      <c r="F304" s="1">
        <v>45993</v>
      </c>
      <c r="G304">
        <v>450000</v>
      </c>
      <c r="I304">
        <v>225000</v>
      </c>
      <c r="J304">
        <v>500000</v>
      </c>
      <c r="K304" s="2">
        <f t="shared" si="4"/>
        <v>675000</v>
      </c>
      <c r="L304" s="2">
        <v>759</v>
      </c>
      <c r="M304">
        <v>649</v>
      </c>
      <c r="N304">
        <v>110</v>
      </c>
    </row>
    <row r="305" spans="1:14" x14ac:dyDescent="0.3">
      <c r="A305" t="s">
        <v>143</v>
      </c>
      <c r="B305" s="6" t="str">
        <f>HYPERLINK("https://mennonite.britecorepro.com/gateway?file=core.router&amp;method=routeEntity&amp;entity_type=policy&amp;entity_number=MENAID-2021-1153", "MENAID-2021-1153")</f>
        <v>MENAID-2021-1153</v>
      </c>
      <c r="C305" s="6" t="s">
        <v>405</v>
      </c>
      <c r="D305" t="s">
        <v>66</v>
      </c>
      <c r="E305" s="1">
        <v>45628</v>
      </c>
      <c r="F305" s="1">
        <v>45993</v>
      </c>
      <c r="G305">
        <v>271000</v>
      </c>
      <c r="H305">
        <v>52000</v>
      </c>
      <c r="I305">
        <v>81300</v>
      </c>
      <c r="J305">
        <v>300000</v>
      </c>
      <c r="K305" s="2">
        <f t="shared" si="4"/>
        <v>404300</v>
      </c>
      <c r="L305" s="2">
        <v>1910</v>
      </c>
      <c r="M305">
        <v>1890</v>
      </c>
      <c r="N305">
        <v>20</v>
      </c>
    </row>
    <row r="306" spans="1:14" x14ac:dyDescent="0.3">
      <c r="A306" t="s">
        <v>117</v>
      </c>
      <c r="B306" s="6" t="str">
        <f>HYPERLINK("https://mennonite.britecorepro.com/gateway?file=core.router&amp;method=routeEntity&amp;entity_type=policy&amp;entity_number=MENAID-2021-1154", "MENAID-2021-1154")</f>
        <v>MENAID-2021-1154</v>
      </c>
      <c r="C306" s="6" t="s">
        <v>405</v>
      </c>
      <c r="D306" t="s">
        <v>28</v>
      </c>
      <c r="E306" s="1">
        <v>45634</v>
      </c>
      <c r="F306" s="1">
        <v>45999</v>
      </c>
      <c r="I306">
        <v>35000</v>
      </c>
      <c r="J306">
        <v>300000</v>
      </c>
      <c r="K306" s="2">
        <f t="shared" si="4"/>
        <v>35000</v>
      </c>
      <c r="L306" s="2">
        <v>160</v>
      </c>
      <c r="M306">
        <v>80</v>
      </c>
      <c r="N306">
        <v>80</v>
      </c>
    </row>
    <row r="307" spans="1:14" x14ac:dyDescent="0.3">
      <c r="A307" t="s">
        <v>118</v>
      </c>
      <c r="B307" s="6" t="str">
        <f>HYPERLINK("https://mennonite.britecorepro.com/gateway?file=core.router&amp;method=routeEntity&amp;entity_type=policy&amp;entity_number=MENAID-2021-1155", "MENAID-2021-1155")</f>
        <v>MENAID-2021-1155</v>
      </c>
      <c r="C307" s="6" t="s">
        <v>405</v>
      </c>
      <c r="D307" t="s">
        <v>12</v>
      </c>
      <c r="E307" s="1">
        <v>45634</v>
      </c>
      <c r="F307" s="1">
        <v>45999</v>
      </c>
      <c r="G307">
        <v>502000</v>
      </c>
      <c r="I307">
        <v>251000</v>
      </c>
      <c r="J307">
        <v>500000</v>
      </c>
      <c r="K307" s="2">
        <f t="shared" si="4"/>
        <v>753000</v>
      </c>
      <c r="L307" s="2">
        <v>697</v>
      </c>
      <c r="M307">
        <v>587</v>
      </c>
      <c r="N307">
        <v>110</v>
      </c>
    </row>
    <row r="308" spans="1:14" x14ac:dyDescent="0.3">
      <c r="A308" t="s">
        <v>363</v>
      </c>
      <c r="B308" s="6" t="str">
        <f>HYPERLINK("https://mennonite.britecorepro.com/gateway?file=core.router&amp;method=routeEntity&amp;entity_type=policy&amp;entity_number=MENAID-2022-1037", "MENAID-2022-1037")</f>
        <v>MENAID-2022-1037</v>
      </c>
      <c r="C308" s="6" t="s">
        <v>405</v>
      </c>
      <c r="D308" t="s">
        <v>68</v>
      </c>
      <c r="E308" s="1">
        <v>45575</v>
      </c>
      <c r="F308" s="1">
        <v>45940</v>
      </c>
      <c r="G308">
        <v>14308000</v>
      </c>
      <c r="I308">
        <v>2576000</v>
      </c>
      <c r="K308" s="2">
        <f t="shared" si="4"/>
        <v>16884000</v>
      </c>
      <c r="L308" s="2">
        <v>19422</v>
      </c>
      <c r="M308">
        <v>19422</v>
      </c>
    </row>
    <row r="309" spans="1:14" x14ac:dyDescent="0.3">
      <c r="A309" t="s">
        <v>332</v>
      </c>
      <c r="B309" s="6" t="str">
        <f>HYPERLINK("https://mennonite.britecorepro.com/gateway?file=core.router&amp;method=routeEntity&amp;entity_type=policy&amp;entity_number=MENAID-2022-1089", "MENAID-2022-1089")</f>
        <v>MENAID-2022-1089</v>
      </c>
      <c r="C309" s="6" t="s">
        <v>405</v>
      </c>
      <c r="D309" t="s">
        <v>68</v>
      </c>
      <c r="E309" s="1">
        <v>45582</v>
      </c>
      <c r="F309" s="1">
        <v>45947</v>
      </c>
      <c r="G309">
        <v>894000</v>
      </c>
      <c r="I309">
        <v>90000</v>
      </c>
      <c r="K309" s="2">
        <f t="shared" si="4"/>
        <v>984000</v>
      </c>
      <c r="L309" s="2">
        <v>1427</v>
      </c>
      <c r="M309">
        <v>1427</v>
      </c>
    </row>
    <row r="310" spans="1:14" x14ac:dyDescent="0.3">
      <c r="A310" t="s">
        <v>325</v>
      </c>
      <c r="B310" s="6" t="str">
        <f>HYPERLINK("https://mennonite.britecorepro.com/gateway?file=core.router&amp;method=routeEntity&amp;entity_type=policy&amp;entity_number=MENAID-2022-1113", "MENAID-2022-1113")</f>
        <v>MENAID-2022-1113</v>
      </c>
      <c r="C310" s="6" t="s">
        <v>405</v>
      </c>
      <c r="D310" t="s">
        <v>12</v>
      </c>
      <c r="E310" s="1">
        <v>45584</v>
      </c>
      <c r="F310" s="1">
        <v>45949</v>
      </c>
      <c r="G310">
        <v>465000</v>
      </c>
      <c r="I310">
        <v>232500</v>
      </c>
      <c r="J310">
        <v>500000</v>
      </c>
      <c r="K310" s="2">
        <f t="shared" si="4"/>
        <v>697500</v>
      </c>
      <c r="L310" s="2">
        <v>889</v>
      </c>
      <c r="M310">
        <v>779</v>
      </c>
      <c r="N310">
        <v>110</v>
      </c>
    </row>
    <row r="311" spans="1:14" x14ac:dyDescent="0.3">
      <c r="A311" t="s">
        <v>294</v>
      </c>
      <c r="B311" s="6" t="str">
        <f>HYPERLINK("https://mennonite.britecorepro.com/gateway?file=core.router&amp;method=routeEntity&amp;entity_type=policy&amp;entity_number=MENAID-2022-1115", "MENAID-2022-1115")</f>
        <v>MENAID-2022-1115</v>
      </c>
      <c r="C311" s="6" t="s">
        <v>405</v>
      </c>
      <c r="D311" t="s">
        <v>12</v>
      </c>
      <c r="E311" s="1">
        <v>45593</v>
      </c>
      <c r="F311" s="1">
        <v>45958</v>
      </c>
      <c r="G311">
        <v>640000</v>
      </c>
      <c r="I311">
        <v>320000</v>
      </c>
      <c r="J311">
        <v>500000</v>
      </c>
      <c r="K311" s="2">
        <f t="shared" si="4"/>
        <v>960000</v>
      </c>
      <c r="L311" s="2">
        <v>1203</v>
      </c>
      <c r="M311">
        <v>1093</v>
      </c>
      <c r="N311">
        <v>110</v>
      </c>
    </row>
    <row r="312" spans="1:14" x14ac:dyDescent="0.3">
      <c r="A312" t="s">
        <v>357</v>
      </c>
      <c r="B312" s="6" t="str">
        <f>HYPERLINK("https://mennonite.britecorepro.com/gateway?file=core.router&amp;method=routeEntity&amp;entity_type=policy&amp;entity_number=MENAID-2022-1116", "MENAID-2022-1116")</f>
        <v>MENAID-2022-1116</v>
      </c>
      <c r="C312" s="6" t="s">
        <v>405</v>
      </c>
      <c r="D312" t="s">
        <v>16</v>
      </c>
      <c r="E312" s="1">
        <v>45576</v>
      </c>
      <c r="F312" s="1">
        <v>45941</v>
      </c>
      <c r="G312">
        <v>659000</v>
      </c>
      <c r="I312">
        <v>1000</v>
      </c>
      <c r="J312">
        <v>500000</v>
      </c>
      <c r="K312" s="2">
        <f t="shared" si="4"/>
        <v>660000</v>
      </c>
      <c r="L312" s="2">
        <v>1371</v>
      </c>
      <c r="M312">
        <v>1331</v>
      </c>
      <c r="N312">
        <v>40</v>
      </c>
    </row>
    <row r="313" spans="1:14" x14ac:dyDescent="0.3">
      <c r="A313" t="s">
        <v>251</v>
      </c>
      <c r="B313" s="6" t="str">
        <f>HYPERLINK("https://mennonite.britecorepro.com/gateway?file=core.router&amp;method=routeEntity&amp;entity_type=policy&amp;entity_number=MENAID-2022-1121", "MENAID-2022-1121")</f>
        <v>MENAID-2022-1121</v>
      </c>
      <c r="C313" s="6" t="s">
        <v>405</v>
      </c>
      <c r="D313" t="s">
        <v>12</v>
      </c>
      <c r="E313" s="1">
        <v>45603</v>
      </c>
      <c r="F313" s="1">
        <v>45968</v>
      </c>
      <c r="G313">
        <v>488000</v>
      </c>
      <c r="I313">
        <v>244000</v>
      </c>
      <c r="J313">
        <v>300000</v>
      </c>
      <c r="K313" s="2">
        <f t="shared" si="4"/>
        <v>732000</v>
      </c>
      <c r="L313" s="2">
        <v>1147</v>
      </c>
      <c r="M313">
        <v>1067</v>
      </c>
      <c r="N313">
        <v>80</v>
      </c>
    </row>
    <row r="314" spans="1:14" x14ac:dyDescent="0.3">
      <c r="A314" t="s">
        <v>106</v>
      </c>
      <c r="B314" s="6" t="str">
        <f>HYPERLINK("https://mennonite.britecorepro.com/gateway?file=core.router&amp;method=routeEntity&amp;entity_type=policy&amp;entity_number=MENAID-2022-1129", "MENAID-2022-1129")</f>
        <v>MENAID-2022-1129</v>
      </c>
      <c r="C314" s="6" t="s">
        <v>405</v>
      </c>
      <c r="D314" t="s">
        <v>28</v>
      </c>
      <c r="E314" s="1">
        <v>45638</v>
      </c>
      <c r="F314" s="1">
        <v>46003</v>
      </c>
      <c r="I314">
        <v>35000</v>
      </c>
      <c r="J314">
        <v>300000</v>
      </c>
      <c r="K314" s="2">
        <f t="shared" si="4"/>
        <v>35000</v>
      </c>
      <c r="L314" s="2">
        <v>171</v>
      </c>
      <c r="M314">
        <v>91</v>
      </c>
      <c r="N314">
        <v>80</v>
      </c>
    </row>
    <row r="315" spans="1:14" x14ac:dyDescent="0.3">
      <c r="A315" t="s">
        <v>38</v>
      </c>
      <c r="B315" s="6" t="str">
        <f>HYPERLINK("https://mennonite.britecorepro.com/gateway?file=core.router&amp;method=routeEntity&amp;entity_type=policy&amp;entity_number=MENAID-2022-1130", "MENAID-2022-1130")</f>
        <v>MENAID-2022-1130</v>
      </c>
      <c r="C315" s="6" t="s">
        <v>405</v>
      </c>
      <c r="D315" t="s">
        <v>16</v>
      </c>
      <c r="E315" s="1">
        <v>45653</v>
      </c>
      <c r="F315" s="1">
        <v>46018</v>
      </c>
      <c r="G315">
        <v>702000</v>
      </c>
      <c r="I315">
        <v>4000</v>
      </c>
      <c r="J315">
        <v>500000</v>
      </c>
      <c r="K315" s="2">
        <f t="shared" si="4"/>
        <v>706000</v>
      </c>
      <c r="L315" s="2">
        <v>1462</v>
      </c>
      <c r="M315">
        <v>1422</v>
      </c>
      <c r="N315">
        <v>40</v>
      </c>
    </row>
    <row r="316" spans="1:14" x14ac:dyDescent="0.3">
      <c r="A316" t="s">
        <v>87</v>
      </c>
      <c r="B316" s="6" t="str">
        <f>HYPERLINK("https://mennonite.britecorepro.com/gateway?file=core.router&amp;method=routeEntity&amp;entity_type=policy&amp;entity_number=MENAID-2022-1131", "MENAID-2022-1131")</f>
        <v>MENAID-2022-1131</v>
      </c>
      <c r="C316" s="6" t="s">
        <v>405</v>
      </c>
      <c r="D316" t="s">
        <v>12</v>
      </c>
      <c r="E316" s="1">
        <v>45642</v>
      </c>
      <c r="F316" s="1">
        <v>46007</v>
      </c>
      <c r="G316">
        <v>865000</v>
      </c>
      <c r="I316">
        <v>432500</v>
      </c>
      <c r="J316">
        <v>300000</v>
      </c>
      <c r="K316" s="2">
        <f t="shared" si="4"/>
        <v>1297500</v>
      </c>
      <c r="L316" s="2">
        <v>3171</v>
      </c>
      <c r="M316">
        <v>3091</v>
      </c>
      <c r="N316">
        <v>80</v>
      </c>
    </row>
    <row r="317" spans="1:14" x14ac:dyDescent="0.3">
      <c r="A317" t="s">
        <v>25</v>
      </c>
      <c r="B317" s="6" t="str">
        <f>HYPERLINK("https://mennonite.britecorepro.com/gateway?file=core.router&amp;method=routeEntity&amp;entity_type=policy&amp;entity_number=MENAID-2022-1134", "MENAID-2022-1134")</f>
        <v>MENAID-2022-1134</v>
      </c>
      <c r="C317" s="6" t="s">
        <v>405</v>
      </c>
      <c r="D317" t="s">
        <v>16</v>
      </c>
      <c r="E317" s="1">
        <v>45656</v>
      </c>
      <c r="F317" s="1">
        <v>46021</v>
      </c>
      <c r="G317">
        <v>615000</v>
      </c>
      <c r="J317">
        <v>500000</v>
      </c>
      <c r="K317" s="2">
        <f t="shared" si="4"/>
        <v>615000</v>
      </c>
      <c r="L317" s="2">
        <v>1257</v>
      </c>
      <c r="M317">
        <v>1217</v>
      </c>
      <c r="N317">
        <v>40</v>
      </c>
    </row>
    <row r="318" spans="1:14" x14ac:dyDescent="0.3">
      <c r="A318" t="s">
        <v>378</v>
      </c>
      <c r="B318" s="6" t="str">
        <f>HYPERLINK("https://mennonite.britecorepro.com/gateway?file=core.router&amp;method=routeEntity&amp;entity_type=policy&amp;entity_number=MENAID-2023-1085", "MENAID-2023-1085")</f>
        <v>MENAID-2023-1085</v>
      </c>
      <c r="C318" s="6" t="s">
        <v>405</v>
      </c>
      <c r="D318" t="s">
        <v>12</v>
      </c>
      <c r="E318" s="1">
        <v>45570</v>
      </c>
      <c r="F318" s="1">
        <v>45935</v>
      </c>
      <c r="G318">
        <v>684000</v>
      </c>
      <c r="H318">
        <v>24000</v>
      </c>
      <c r="I318">
        <v>342000</v>
      </c>
      <c r="J318">
        <v>500000</v>
      </c>
      <c r="K318" s="2">
        <f t="shared" si="4"/>
        <v>1050000</v>
      </c>
      <c r="L318" s="2">
        <v>1418</v>
      </c>
      <c r="M318">
        <v>1308</v>
      </c>
      <c r="N318">
        <v>110</v>
      </c>
    </row>
    <row r="319" spans="1:14" x14ac:dyDescent="0.3">
      <c r="A319" t="s">
        <v>282</v>
      </c>
      <c r="B319" s="6" t="str">
        <f>HYPERLINK("https://mennonite.britecorepro.com/gateway?file=core.router&amp;method=routeEntity&amp;entity_type=policy&amp;entity_number=MENAID-2023-1093", "MENAID-2023-1093")</f>
        <v>MENAID-2023-1093</v>
      </c>
      <c r="C319" s="6" t="s">
        <v>405</v>
      </c>
      <c r="D319" t="s">
        <v>12</v>
      </c>
      <c r="E319" s="1">
        <v>45595</v>
      </c>
      <c r="F319" s="1">
        <v>45960</v>
      </c>
      <c r="G319">
        <v>975000</v>
      </c>
      <c r="I319">
        <v>487500</v>
      </c>
      <c r="J319">
        <v>500000</v>
      </c>
      <c r="K319" s="2">
        <f t="shared" si="4"/>
        <v>1462500</v>
      </c>
      <c r="L319" s="2">
        <v>1562</v>
      </c>
      <c r="M319">
        <v>1452</v>
      </c>
      <c r="N319">
        <v>110</v>
      </c>
    </row>
    <row r="320" spans="1:14" x14ac:dyDescent="0.3">
      <c r="A320" t="s">
        <v>89</v>
      </c>
      <c r="B320" s="6" t="str">
        <f>HYPERLINK("https://mennonite.britecorepro.com/gateway?file=core.router&amp;method=routeEntity&amp;entity_type=policy&amp;entity_number=MENAID-2023-1094", "MENAID-2023-1094")</f>
        <v>MENAID-2023-1094</v>
      </c>
      <c r="C320" s="6" t="s">
        <v>405</v>
      </c>
      <c r="D320" t="s">
        <v>16</v>
      </c>
      <c r="E320" s="1">
        <v>45641</v>
      </c>
      <c r="F320" s="1">
        <v>46006</v>
      </c>
      <c r="G320">
        <v>513000</v>
      </c>
      <c r="I320">
        <v>1000</v>
      </c>
      <c r="J320">
        <v>500000</v>
      </c>
      <c r="K320" s="2">
        <f t="shared" si="4"/>
        <v>514000</v>
      </c>
      <c r="L320" s="2">
        <v>1082</v>
      </c>
      <c r="M320">
        <v>1042</v>
      </c>
      <c r="N320">
        <v>40</v>
      </c>
    </row>
    <row r="321" spans="1:14" x14ac:dyDescent="0.3">
      <c r="A321" t="s">
        <v>275</v>
      </c>
      <c r="B321" s="6" t="str">
        <f>HYPERLINK("https://mennonite.britecorepro.com/gateway?file=core.router&amp;method=routeEntity&amp;entity_type=policy&amp;entity_number=MENAID-2023-1096", "MENAID-2023-1096")</f>
        <v>MENAID-2023-1096</v>
      </c>
      <c r="C321" s="6" t="s">
        <v>405</v>
      </c>
      <c r="D321" t="s">
        <v>12</v>
      </c>
      <c r="E321" s="1">
        <v>45596</v>
      </c>
      <c r="F321" s="1">
        <v>45961</v>
      </c>
      <c r="G321">
        <v>819000</v>
      </c>
      <c r="I321">
        <v>409500</v>
      </c>
      <c r="J321">
        <v>500000</v>
      </c>
      <c r="K321" s="2">
        <f t="shared" si="4"/>
        <v>1228500</v>
      </c>
      <c r="L321" s="2">
        <v>1589</v>
      </c>
      <c r="M321">
        <v>1479</v>
      </c>
      <c r="N321">
        <v>110</v>
      </c>
    </row>
    <row r="322" spans="1:14" x14ac:dyDescent="0.3">
      <c r="A322" t="s">
        <v>276</v>
      </c>
      <c r="B322" s="6" t="str">
        <f>HYPERLINK("https://mennonite.britecorepro.com/gateway?file=core.router&amp;method=routeEntity&amp;entity_type=policy&amp;entity_number=MENAID-2023-1097", "MENAID-2023-1097")</f>
        <v>MENAID-2023-1097</v>
      </c>
      <c r="C322" s="6" t="s">
        <v>405</v>
      </c>
      <c r="D322" t="s">
        <v>16</v>
      </c>
      <c r="E322" s="1">
        <v>45596</v>
      </c>
      <c r="F322" s="1">
        <v>45961</v>
      </c>
      <c r="G322">
        <v>624000</v>
      </c>
      <c r="I322">
        <v>5000</v>
      </c>
      <c r="J322">
        <v>500000</v>
      </c>
      <c r="K322" s="2">
        <f t="shared" ref="K322:K359" si="5">G322+H322+I322</f>
        <v>629000</v>
      </c>
      <c r="L322" s="2">
        <v>2462</v>
      </c>
      <c r="M322">
        <v>2422</v>
      </c>
      <c r="N322">
        <v>40</v>
      </c>
    </row>
    <row r="323" spans="1:14" x14ac:dyDescent="0.3">
      <c r="A323" t="s">
        <v>317</v>
      </c>
      <c r="B323" s="6" t="str">
        <f>HYPERLINK("https://mennonite.britecorepro.com/gateway?file=core.router&amp;method=routeEntity&amp;entity_type=policy&amp;entity_number=MENAID-2023-1104", "MENAID-2023-1104")</f>
        <v>MENAID-2023-1104</v>
      </c>
      <c r="C323" s="6" t="s">
        <v>405</v>
      </c>
      <c r="D323" t="s">
        <v>28</v>
      </c>
      <c r="E323" s="1">
        <v>45586</v>
      </c>
      <c r="F323" s="1">
        <v>45951</v>
      </c>
      <c r="I323">
        <v>35000</v>
      </c>
      <c r="J323">
        <v>500000</v>
      </c>
      <c r="K323" s="2">
        <f t="shared" si="5"/>
        <v>35000</v>
      </c>
      <c r="L323" s="2">
        <v>201</v>
      </c>
      <c r="M323">
        <v>91</v>
      </c>
      <c r="N323">
        <v>110</v>
      </c>
    </row>
    <row r="324" spans="1:14" x14ac:dyDescent="0.3">
      <c r="A324" t="s">
        <v>283</v>
      </c>
      <c r="B324" s="6" t="str">
        <f>HYPERLINK("https://mennonite.britecorepro.com/gateway?file=core.router&amp;method=routeEntity&amp;entity_type=policy&amp;entity_number=MENAID-2023-1105", "MENAID-2023-1105")</f>
        <v>MENAID-2023-1105</v>
      </c>
      <c r="C324" s="6" t="s">
        <v>405</v>
      </c>
      <c r="D324" t="s">
        <v>28</v>
      </c>
      <c r="E324" s="1">
        <v>45595</v>
      </c>
      <c r="F324" s="1">
        <v>45960</v>
      </c>
      <c r="I324">
        <v>35000</v>
      </c>
      <c r="J324">
        <v>500000</v>
      </c>
      <c r="K324" s="2">
        <f t="shared" si="5"/>
        <v>35000</v>
      </c>
      <c r="L324" s="2">
        <v>190</v>
      </c>
      <c r="M324">
        <v>80</v>
      </c>
      <c r="N324">
        <v>110</v>
      </c>
    </row>
    <row r="325" spans="1:14" x14ac:dyDescent="0.3">
      <c r="A325" t="s">
        <v>135</v>
      </c>
      <c r="B325" s="6" t="str">
        <f>HYPERLINK("https://mennonite.britecorepro.com/gateway?file=core.router&amp;method=routeEntity&amp;entity_type=policy&amp;entity_number=MENAID-2023-1110", "MENAID-2023-1110")</f>
        <v>MENAID-2023-1110</v>
      </c>
      <c r="C325" s="6" t="s">
        <v>405</v>
      </c>
      <c r="D325" t="s">
        <v>12</v>
      </c>
      <c r="E325" s="1">
        <v>45630</v>
      </c>
      <c r="F325" s="1">
        <v>45995</v>
      </c>
      <c r="G325">
        <v>410000</v>
      </c>
      <c r="I325">
        <v>205000</v>
      </c>
      <c r="J325">
        <v>500000</v>
      </c>
      <c r="K325" s="2">
        <f t="shared" si="5"/>
        <v>615000</v>
      </c>
      <c r="L325" s="2">
        <v>1596</v>
      </c>
      <c r="M325">
        <v>1486</v>
      </c>
      <c r="N325">
        <v>110</v>
      </c>
    </row>
    <row r="326" spans="1:14" x14ac:dyDescent="0.3">
      <c r="A326" t="s">
        <v>202</v>
      </c>
      <c r="B326" s="6" t="str">
        <f>HYPERLINK("https://mennonite.britecorepro.com/gateway?file=core.router&amp;method=routeEntity&amp;entity_type=policy&amp;entity_number=MENAID-2023-1111", "MENAID-2023-1111")</f>
        <v>MENAID-2023-1111</v>
      </c>
      <c r="C326" s="6" t="s">
        <v>405</v>
      </c>
      <c r="D326" t="s">
        <v>28</v>
      </c>
      <c r="E326" s="1">
        <v>45614</v>
      </c>
      <c r="F326" s="1">
        <v>45979</v>
      </c>
      <c r="I326">
        <v>35000</v>
      </c>
      <c r="J326">
        <v>500000</v>
      </c>
      <c r="K326" s="2">
        <f t="shared" si="5"/>
        <v>35000</v>
      </c>
      <c r="L326" s="2">
        <v>206</v>
      </c>
      <c r="M326">
        <v>96</v>
      </c>
      <c r="N326">
        <v>110</v>
      </c>
    </row>
    <row r="327" spans="1:14" x14ac:dyDescent="0.3">
      <c r="A327" t="s">
        <v>150</v>
      </c>
      <c r="B327" s="6" t="str">
        <f>HYPERLINK("https://mennonite.britecorepro.com/gateway?file=core.router&amp;method=routeEntity&amp;entity_type=policy&amp;entity_number=MENAID-2023-1116", "MENAID-2023-1116")</f>
        <v>MENAID-2023-1116</v>
      </c>
      <c r="C327" s="6" t="s">
        <v>405</v>
      </c>
      <c r="D327" t="s">
        <v>12</v>
      </c>
      <c r="E327" s="1">
        <v>45627</v>
      </c>
      <c r="F327" s="1">
        <v>45992</v>
      </c>
      <c r="G327">
        <v>2482000</v>
      </c>
      <c r="I327">
        <v>1241000</v>
      </c>
      <c r="J327">
        <v>500000</v>
      </c>
      <c r="K327" s="2">
        <f t="shared" si="5"/>
        <v>3723000</v>
      </c>
      <c r="L327" s="2">
        <v>8376</v>
      </c>
      <c r="M327">
        <v>8266</v>
      </c>
      <c r="N327">
        <v>110</v>
      </c>
    </row>
    <row r="328" spans="1:14" x14ac:dyDescent="0.3">
      <c r="A328" t="s">
        <v>144</v>
      </c>
      <c r="B328" s="6" t="str">
        <f>HYPERLINK("https://mennonite.britecorepro.com/gateway?file=core.router&amp;method=routeEntity&amp;entity_type=policy&amp;entity_number=MENAID-2023-1117", "MENAID-2023-1117")</f>
        <v>MENAID-2023-1117</v>
      </c>
      <c r="C328" s="6" t="s">
        <v>405</v>
      </c>
      <c r="D328" t="s">
        <v>12</v>
      </c>
      <c r="E328" s="1">
        <v>45628</v>
      </c>
      <c r="F328" s="1">
        <v>45993</v>
      </c>
      <c r="G328">
        <v>654000</v>
      </c>
      <c r="I328">
        <v>327000</v>
      </c>
      <c r="J328">
        <v>300000</v>
      </c>
      <c r="K328" s="2">
        <f t="shared" si="5"/>
        <v>981000</v>
      </c>
      <c r="L328" s="2">
        <v>400</v>
      </c>
      <c r="M328">
        <v>320</v>
      </c>
      <c r="N328">
        <v>80</v>
      </c>
    </row>
    <row r="329" spans="1:14" x14ac:dyDescent="0.3">
      <c r="A329" t="s">
        <v>160</v>
      </c>
      <c r="B329" s="6" t="str">
        <f>HYPERLINK("https://mennonite.britecorepro.com/gateway?file=core.router&amp;method=routeEntity&amp;entity_type=policy&amp;entity_number=MENAID-2023-1118", "MENAID-2023-1118")</f>
        <v>MENAID-2023-1118</v>
      </c>
      <c r="C329" s="6" t="s">
        <v>405</v>
      </c>
      <c r="D329" t="s">
        <v>12</v>
      </c>
      <c r="E329" s="1">
        <v>45624</v>
      </c>
      <c r="F329" s="1">
        <v>45989</v>
      </c>
      <c r="G329">
        <v>324000</v>
      </c>
      <c r="H329">
        <v>20000</v>
      </c>
      <c r="I329">
        <v>162000</v>
      </c>
      <c r="J329">
        <v>500000</v>
      </c>
      <c r="K329" s="2">
        <f t="shared" si="5"/>
        <v>506000</v>
      </c>
      <c r="L329" s="2">
        <v>982</v>
      </c>
      <c r="M329">
        <v>872</v>
      </c>
      <c r="N329">
        <v>110</v>
      </c>
    </row>
    <row r="330" spans="1:14" x14ac:dyDescent="0.3">
      <c r="A330" t="s">
        <v>54</v>
      </c>
      <c r="B330" s="6" t="str">
        <f>HYPERLINK("https://mennonite.britecorepro.com/gateway?file=core.router&amp;method=routeEntity&amp;entity_type=policy&amp;entity_number=MENAID-2023-1119", "MENAID-2023-1119")</f>
        <v>MENAID-2023-1119</v>
      </c>
      <c r="C330" s="6" t="s">
        <v>405</v>
      </c>
      <c r="D330" t="s">
        <v>12</v>
      </c>
      <c r="E330" s="1">
        <v>45648</v>
      </c>
      <c r="F330" s="1">
        <v>46013</v>
      </c>
      <c r="G330">
        <v>1011000</v>
      </c>
      <c r="I330">
        <v>505500</v>
      </c>
      <c r="J330">
        <v>500000</v>
      </c>
      <c r="K330" s="2">
        <f t="shared" si="5"/>
        <v>1516500</v>
      </c>
      <c r="L330" s="2">
        <v>1363</v>
      </c>
      <c r="M330">
        <v>1253</v>
      </c>
      <c r="N330">
        <v>110</v>
      </c>
    </row>
    <row r="331" spans="1:14" x14ac:dyDescent="0.3">
      <c r="A331" t="s">
        <v>151</v>
      </c>
      <c r="B331" s="6" t="str">
        <f>HYPERLINK("https://mennonite.britecorepro.com/gateway?file=core.router&amp;method=routeEntity&amp;entity_type=policy&amp;entity_number=MENAID-2023-1120", "MENAID-2023-1120")</f>
        <v>MENAID-2023-1120</v>
      </c>
      <c r="C331" s="6" t="s">
        <v>405</v>
      </c>
      <c r="D331" t="s">
        <v>28</v>
      </c>
      <c r="E331" s="1">
        <v>45627</v>
      </c>
      <c r="F331" s="1">
        <v>45992</v>
      </c>
      <c r="I331">
        <v>35000</v>
      </c>
      <c r="J331">
        <v>500000</v>
      </c>
      <c r="K331" s="2">
        <f t="shared" si="5"/>
        <v>35000</v>
      </c>
      <c r="L331" s="2">
        <v>206</v>
      </c>
      <c r="M331">
        <v>96</v>
      </c>
      <c r="N331">
        <v>110</v>
      </c>
    </row>
    <row r="332" spans="1:14" x14ac:dyDescent="0.3">
      <c r="A332" t="s">
        <v>41</v>
      </c>
      <c r="B332" s="6" t="str">
        <f>HYPERLINK("https://mennonite.britecorepro.com/gateway?file=core.router&amp;method=routeEntity&amp;entity_type=policy&amp;entity_number=MENAID-2023-1125", "MENAID-2023-1125")</f>
        <v>MENAID-2023-1125</v>
      </c>
      <c r="C332" s="6" t="s">
        <v>405</v>
      </c>
      <c r="D332" t="s">
        <v>12</v>
      </c>
      <c r="E332" s="1">
        <v>45652</v>
      </c>
      <c r="F332" s="1">
        <v>46017</v>
      </c>
      <c r="G332">
        <v>635000</v>
      </c>
      <c r="I332">
        <v>317500</v>
      </c>
      <c r="J332">
        <v>300000</v>
      </c>
      <c r="K332" s="2">
        <f t="shared" si="5"/>
        <v>952500</v>
      </c>
      <c r="L332" s="2">
        <v>729</v>
      </c>
      <c r="M332">
        <v>649</v>
      </c>
      <c r="N332">
        <v>80</v>
      </c>
    </row>
    <row r="333" spans="1:14" x14ac:dyDescent="0.3">
      <c r="A333" t="s">
        <v>341</v>
      </c>
      <c r="B333" s="6" t="str">
        <f>HYPERLINK("https://mennonite.britecorepro.com/gateway?file=core.router&amp;method=routeEntity&amp;entity_type=policy&amp;entity_number=MENAID-2024-1129", "MENAID-2024-1129")</f>
        <v>MENAID-2024-1129</v>
      </c>
      <c r="C333" s="6" t="s">
        <v>405</v>
      </c>
      <c r="D333" t="s">
        <v>16</v>
      </c>
      <c r="E333" s="1">
        <v>45581</v>
      </c>
      <c r="F333" s="1">
        <v>45946</v>
      </c>
      <c r="G333">
        <v>484000</v>
      </c>
      <c r="I333">
        <v>1000</v>
      </c>
      <c r="J333">
        <v>300000</v>
      </c>
      <c r="K333" s="2">
        <f t="shared" si="5"/>
        <v>485000</v>
      </c>
      <c r="L333" s="2">
        <v>1313</v>
      </c>
      <c r="M333">
        <v>1283</v>
      </c>
      <c r="N333">
        <v>30</v>
      </c>
    </row>
    <row r="334" spans="1:14" x14ac:dyDescent="0.3">
      <c r="A334" t="s">
        <v>329</v>
      </c>
      <c r="B334" s="6" t="str">
        <f>HYPERLINK("https://mennonite.britecorepro.com/gateway?file=core.router&amp;method=routeEntity&amp;entity_type=policy&amp;entity_number=MENAID-2024-1168", "MENAID-2024-1168")</f>
        <v>MENAID-2024-1168</v>
      </c>
      <c r="C334" s="6" t="s">
        <v>405</v>
      </c>
      <c r="D334" t="s">
        <v>12</v>
      </c>
      <c r="E334" s="1">
        <v>45583</v>
      </c>
      <c r="F334" s="1">
        <v>45948</v>
      </c>
      <c r="G334">
        <v>846000</v>
      </c>
      <c r="I334">
        <v>423000</v>
      </c>
      <c r="J334">
        <v>500000</v>
      </c>
      <c r="K334" s="2">
        <f t="shared" si="5"/>
        <v>1269000</v>
      </c>
      <c r="L334" s="2">
        <v>1333</v>
      </c>
      <c r="M334">
        <v>1223</v>
      </c>
      <c r="N334">
        <v>110</v>
      </c>
    </row>
    <row r="335" spans="1:14" x14ac:dyDescent="0.3">
      <c r="A335" t="s">
        <v>318</v>
      </c>
      <c r="B335" s="6" t="str">
        <f>HYPERLINK("https://mennonite.britecorepro.com/gateway?file=core.router&amp;method=routeEntity&amp;entity_type=policy&amp;entity_number=MENAID-2024-1179", "MENAID-2024-1179")</f>
        <v>MENAID-2024-1179</v>
      </c>
      <c r="C335" s="6" t="s">
        <v>405</v>
      </c>
      <c r="D335" t="s">
        <v>16</v>
      </c>
      <c r="E335" s="1">
        <v>45586</v>
      </c>
      <c r="F335" s="1">
        <v>45951</v>
      </c>
      <c r="G335">
        <v>494000</v>
      </c>
      <c r="I335">
        <v>1000</v>
      </c>
      <c r="J335">
        <v>500000</v>
      </c>
      <c r="K335" s="2">
        <f t="shared" si="5"/>
        <v>495000</v>
      </c>
      <c r="L335" s="2">
        <v>1724</v>
      </c>
      <c r="M335">
        <v>1684</v>
      </c>
      <c r="N335">
        <v>40</v>
      </c>
    </row>
    <row r="336" spans="1:14" x14ac:dyDescent="0.3">
      <c r="A336" t="s">
        <v>237</v>
      </c>
      <c r="B336" s="6" t="str">
        <f>HYPERLINK("https://mennonite.britecorepro.com/gateway?file=core.router&amp;method=routeEntity&amp;entity_type=policy&amp;entity_number=MENAID-2024-1180", "MENAID-2024-1180")</f>
        <v>MENAID-2024-1180</v>
      </c>
      <c r="C336" s="6" t="s">
        <v>405</v>
      </c>
      <c r="D336" t="s">
        <v>16</v>
      </c>
      <c r="E336" s="1">
        <v>45606</v>
      </c>
      <c r="F336" s="1">
        <v>45971</v>
      </c>
      <c r="G336">
        <v>475000</v>
      </c>
      <c r="I336">
        <v>1000</v>
      </c>
      <c r="J336">
        <v>500000</v>
      </c>
      <c r="K336" s="2">
        <f t="shared" si="5"/>
        <v>476000</v>
      </c>
      <c r="L336" s="2">
        <v>985</v>
      </c>
      <c r="M336">
        <v>945</v>
      </c>
      <c r="N336">
        <v>40</v>
      </c>
    </row>
    <row r="337" spans="1:14" x14ac:dyDescent="0.3">
      <c r="A337" t="s">
        <v>319</v>
      </c>
      <c r="B337" s="6" t="str">
        <f>HYPERLINK("https://mennonite.britecorepro.com/gateway?file=core.router&amp;method=routeEntity&amp;entity_type=policy&amp;entity_number=MENAID-2024-1181", "MENAID-2024-1181")</f>
        <v>MENAID-2024-1181</v>
      </c>
      <c r="C337" s="6" t="s">
        <v>405</v>
      </c>
      <c r="D337" t="s">
        <v>28</v>
      </c>
      <c r="E337" s="1">
        <v>45586</v>
      </c>
      <c r="F337" s="1">
        <v>45951</v>
      </c>
      <c r="I337">
        <v>35000</v>
      </c>
      <c r="J337">
        <v>500000</v>
      </c>
      <c r="K337" s="2">
        <f t="shared" si="5"/>
        <v>35000</v>
      </c>
      <c r="L337" s="2">
        <v>206</v>
      </c>
      <c r="M337">
        <v>96</v>
      </c>
      <c r="N337">
        <v>110</v>
      </c>
    </row>
    <row r="338" spans="1:14" x14ac:dyDescent="0.3">
      <c r="A338" t="s">
        <v>390</v>
      </c>
      <c r="B338" s="6" t="str">
        <f>HYPERLINK("https://mennonite.britecorepro.com/gateway?file=core.router&amp;method=routeEntity&amp;entity_type=policy&amp;entity_number=MENAID-2024-1184", "MENAID-2024-1184")</f>
        <v>MENAID-2024-1184</v>
      </c>
      <c r="C338" s="6" t="s">
        <v>405</v>
      </c>
      <c r="D338" t="s">
        <v>12</v>
      </c>
      <c r="E338" s="1">
        <v>45567</v>
      </c>
      <c r="F338" s="1">
        <v>45932</v>
      </c>
      <c r="G338">
        <v>689000</v>
      </c>
      <c r="I338">
        <v>344500</v>
      </c>
      <c r="J338">
        <v>500000</v>
      </c>
      <c r="K338" s="2">
        <f t="shared" si="5"/>
        <v>1033500</v>
      </c>
      <c r="L338" s="2">
        <v>1517</v>
      </c>
      <c r="M338">
        <v>1407</v>
      </c>
      <c r="N338">
        <v>110</v>
      </c>
    </row>
    <row r="339" spans="1:14" x14ac:dyDescent="0.3">
      <c r="A339" t="s">
        <v>401</v>
      </c>
      <c r="B339" s="6" t="str">
        <f>HYPERLINK("https://mennonite.britecorepro.com/gateway?file=core.router&amp;method=routeEntity&amp;entity_type=policy&amp;entity_number=MENAID-2024-1185", "MENAID-2024-1185")</f>
        <v>MENAID-2024-1185</v>
      </c>
      <c r="C339" s="6" t="s">
        <v>405</v>
      </c>
      <c r="D339" t="s">
        <v>12</v>
      </c>
      <c r="E339" s="1">
        <v>45566</v>
      </c>
      <c r="F339" s="1">
        <v>45931</v>
      </c>
      <c r="G339">
        <v>834000</v>
      </c>
      <c r="I339">
        <v>417000</v>
      </c>
      <c r="J339">
        <v>500000</v>
      </c>
      <c r="K339" s="2">
        <f t="shared" si="5"/>
        <v>1251000</v>
      </c>
      <c r="L339" s="2">
        <v>2469</v>
      </c>
      <c r="M339">
        <v>2359</v>
      </c>
      <c r="N339">
        <v>110</v>
      </c>
    </row>
    <row r="340" spans="1:14" x14ac:dyDescent="0.3">
      <c r="A340" t="s">
        <v>402</v>
      </c>
      <c r="B340" s="6" t="str">
        <f>HYPERLINK("https://mennonite.britecorepro.com/gateway?file=core.router&amp;method=routeEntity&amp;entity_type=policy&amp;entity_number=MENAID-2024-1188", "MENAID-2024-1188")</f>
        <v>MENAID-2024-1188</v>
      </c>
      <c r="C340" s="6" t="s">
        <v>405</v>
      </c>
      <c r="D340" t="s">
        <v>12</v>
      </c>
      <c r="E340" s="1">
        <v>45566</v>
      </c>
      <c r="F340" s="1">
        <v>45931</v>
      </c>
      <c r="G340">
        <v>717000</v>
      </c>
      <c r="I340">
        <v>358500</v>
      </c>
      <c r="J340">
        <v>500000</v>
      </c>
      <c r="K340" s="2">
        <f t="shared" si="5"/>
        <v>1075500</v>
      </c>
      <c r="L340" s="2">
        <v>897</v>
      </c>
      <c r="M340">
        <v>787</v>
      </c>
      <c r="N340">
        <v>110</v>
      </c>
    </row>
    <row r="341" spans="1:14" x14ac:dyDescent="0.3">
      <c r="A341" t="s">
        <v>365</v>
      </c>
      <c r="B341" s="6" t="str">
        <f>HYPERLINK("https://mennonite.britecorepro.com/gateway?file=core.router&amp;method=routeEntity&amp;entity_type=policy&amp;entity_number=MENAID-2024-1189", "MENAID-2024-1189")</f>
        <v>MENAID-2024-1189</v>
      </c>
      <c r="C341" s="6" t="s">
        <v>405</v>
      </c>
      <c r="D341" t="s">
        <v>12</v>
      </c>
      <c r="E341" s="1">
        <v>45575</v>
      </c>
      <c r="F341" s="1">
        <v>45940</v>
      </c>
      <c r="G341">
        <v>602000</v>
      </c>
      <c r="I341">
        <v>301000</v>
      </c>
      <c r="J341">
        <v>500000</v>
      </c>
      <c r="K341" s="2">
        <f t="shared" si="5"/>
        <v>903000</v>
      </c>
      <c r="L341" s="2">
        <v>1010</v>
      </c>
      <c r="M341">
        <v>900</v>
      </c>
      <c r="N341">
        <v>110</v>
      </c>
    </row>
    <row r="342" spans="1:14" x14ac:dyDescent="0.3">
      <c r="A342" t="s">
        <v>382</v>
      </c>
      <c r="B342" s="6" t="str">
        <f>HYPERLINK("https://mennonite.britecorepro.com/gateway?file=core.router&amp;method=routeEntity&amp;entity_type=policy&amp;entity_number=MENAID-2024-1192", "MENAID-2024-1192")</f>
        <v>MENAID-2024-1192</v>
      </c>
      <c r="C342" s="6" t="s">
        <v>405</v>
      </c>
      <c r="D342" t="s">
        <v>28</v>
      </c>
      <c r="E342" s="1">
        <v>45569</v>
      </c>
      <c r="F342" s="1">
        <v>45934</v>
      </c>
      <c r="I342">
        <v>35000</v>
      </c>
      <c r="J342">
        <v>300000</v>
      </c>
      <c r="K342" s="2">
        <f t="shared" si="5"/>
        <v>35000</v>
      </c>
      <c r="L342" s="2">
        <v>157</v>
      </c>
      <c r="M342">
        <v>77</v>
      </c>
      <c r="N342">
        <v>80</v>
      </c>
    </row>
    <row r="343" spans="1:14" x14ac:dyDescent="0.3">
      <c r="A343" t="s">
        <v>152</v>
      </c>
      <c r="B343" s="6" t="str">
        <f>HYPERLINK("https://mennonite.britecorepro.com/gateway?file=core.router&amp;method=routeEntity&amp;entity_type=policy&amp;entity_number=MENAID-2024-1196", "MENAID-2024-1196")</f>
        <v>MENAID-2024-1196</v>
      </c>
      <c r="C343" s="6" t="s">
        <v>405</v>
      </c>
      <c r="D343" t="s">
        <v>12</v>
      </c>
      <c r="E343" s="1">
        <v>45627</v>
      </c>
      <c r="F343" s="1">
        <v>45992</v>
      </c>
      <c r="G343">
        <v>1919000</v>
      </c>
      <c r="I343">
        <v>959500</v>
      </c>
      <c r="J343">
        <v>500000</v>
      </c>
      <c r="K343" s="2">
        <f t="shared" si="5"/>
        <v>2878500</v>
      </c>
      <c r="L343" s="2">
        <v>2690</v>
      </c>
      <c r="M343">
        <v>2580</v>
      </c>
      <c r="N343">
        <v>110</v>
      </c>
    </row>
    <row r="344" spans="1:14" x14ac:dyDescent="0.3">
      <c r="A344" t="s">
        <v>379</v>
      </c>
      <c r="B344" s="6" t="str">
        <f>HYPERLINK("https://mennonite.britecorepro.com/gateway?file=core.router&amp;method=routeEntity&amp;entity_type=policy&amp;entity_number=MENAID-2024-1199", "MENAID-2024-1199")</f>
        <v>MENAID-2024-1199</v>
      </c>
      <c r="C344" s="6" t="s">
        <v>405</v>
      </c>
      <c r="D344" t="s">
        <v>12</v>
      </c>
      <c r="E344" s="1">
        <v>45570</v>
      </c>
      <c r="F344" s="1">
        <v>45935</v>
      </c>
      <c r="G344">
        <v>702000</v>
      </c>
      <c r="I344">
        <v>351000</v>
      </c>
      <c r="J344">
        <v>500000</v>
      </c>
      <c r="K344" s="2">
        <f t="shared" si="5"/>
        <v>1053000</v>
      </c>
      <c r="L344" s="2">
        <v>1127</v>
      </c>
      <c r="M344">
        <v>1017</v>
      </c>
      <c r="N344">
        <v>110</v>
      </c>
    </row>
    <row r="345" spans="1:14" x14ac:dyDescent="0.3">
      <c r="A345" t="s">
        <v>375</v>
      </c>
      <c r="B345" s="6" t="str">
        <f>HYPERLINK("https://mennonite.britecorepro.com/gateway?file=core.router&amp;method=routeEntity&amp;entity_type=policy&amp;entity_number=MENAID-2024-1200", "MENAID-2024-1200")</f>
        <v>MENAID-2024-1200</v>
      </c>
      <c r="C345" s="6" t="s">
        <v>405</v>
      </c>
      <c r="D345" t="s">
        <v>12</v>
      </c>
      <c r="E345" s="1">
        <v>45571</v>
      </c>
      <c r="F345" s="1">
        <v>45936</v>
      </c>
      <c r="G345">
        <v>1252000</v>
      </c>
      <c r="I345">
        <v>626000</v>
      </c>
      <c r="J345">
        <v>500000</v>
      </c>
      <c r="K345" s="2">
        <f t="shared" si="5"/>
        <v>1878000</v>
      </c>
      <c r="L345" s="2">
        <v>3308</v>
      </c>
      <c r="M345">
        <v>3198</v>
      </c>
      <c r="N345">
        <v>110</v>
      </c>
    </row>
    <row r="346" spans="1:14" x14ac:dyDescent="0.3">
      <c r="A346" t="s">
        <v>222</v>
      </c>
      <c r="B346" s="6" t="str">
        <f>HYPERLINK("https://mennonite.britecorepro.com/gateway?file=core.router&amp;method=routeEntity&amp;entity_type=policy&amp;entity_number=MENAID-2024-1201", "MENAID-2024-1201")</f>
        <v>MENAID-2024-1201</v>
      </c>
      <c r="C346" s="6" t="s">
        <v>405</v>
      </c>
      <c r="D346" t="s">
        <v>16</v>
      </c>
      <c r="E346" s="1">
        <v>45610</v>
      </c>
      <c r="F346" s="1">
        <v>45975</v>
      </c>
      <c r="G346">
        <v>439000</v>
      </c>
      <c r="I346">
        <v>1000</v>
      </c>
      <c r="J346">
        <v>500000</v>
      </c>
      <c r="K346" s="2">
        <f t="shared" si="5"/>
        <v>440000</v>
      </c>
      <c r="L346" s="2">
        <v>1317</v>
      </c>
      <c r="M346">
        <v>1277</v>
      </c>
      <c r="N346">
        <v>40</v>
      </c>
    </row>
    <row r="347" spans="1:14" x14ac:dyDescent="0.3">
      <c r="A347" t="s">
        <v>315</v>
      </c>
      <c r="B347" s="6" t="str">
        <f>HYPERLINK("https://mennonite.britecorepro.com/gateway?file=core.router&amp;method=routeEntity&amp;entity_type=policy&amp;entity_number=MENAID-2024-1202", "MENAID-2024-1202")</f>
        <v>MENAID-2024-1202</v>
      </c>
      <c r="C347" s="6" t="s">
        <v>405</v>
      </c>
      <c r="D347" t="s">
        <v>16</v>
      </c>
      <c r="E347" s="1">
        <v>45587</v>
      </c>
      <c r="F347" s="1">
        <v>45952</v>
      </c>
      <c r="G347">
        <v>388000</v>
      </c>
      <c r="I347">
        <v>1000</v>
      </c>
      <c r="J347">
        <v>500000</v>
      </c>
      <c r="K347" s="2">
        <f t="shared" si="5"/>
        <v>389000</v>
      </c>
      <c r="L347" s="2">
        <v>1208</v>
      </c>
      <c r="M347">
        <v>1168</v>
      </c>
      <c r="N347">
        <v>40</v>
      </c>
    </row>
    <row r="348" spans="1:14" x14ac:dyDescent="0.3">
      <c r="A348" t="s">
        <v>306</v>
      </c>
      <c r="B348" s="6" t="str">
        <f>HYPERLINK("https://mennonite.britecorepro.com/gateway?file=core.router&amp;method=routeEntity&amp;entity_type=policy&amp;entity_number=MENAID-2024-1204", "MENAID-2024-1204")</f>
        <v>MENAID-2024-1204</v>
      </c>
      <c r="C348" s="6" t="s">
        <v>405</v>
      </c>
      <c r="D348" t="s">
        <v>12</v>
      </c>
      <c r="E348" s="1">
        <v>45590</v>
      </c>
      <c r="F348" s="1">
        <v>45955</v>
      </c>
      <c r="G348">
        <v>852000</v>
      </c>
      <c r="I348">
        <v>426000</v>
      </c>
      <c r="J348">
        <v>500000</v>
      </c>
      <c r="K348" s="2">
        <f t="shared" si="5"/>
        <v>1278000</v>
      </c>
      <c r="L348" s="2">
        <v>1888</v>
      </c>
      <c r="M348">
        <v>1778</v>
      </c>
      <c r="N348">
        <v>110</v>
      </c>
    </row>
    <row r="349" spans="1:14" x14ac:dyDescent="0.3">
      <c r="A349" t="s">
        <v>330</v>
      </c>
      <c r="B349" s="6" t="str">
        <f>HYPERLINK("https://mennonite.britecorepro.com/gateway?file=core.router&amp;method=routeEntity&amp;entity_type=policy&amp;entity_number=MENAID-2024-1205", "MENAID-2024-1205")</f>
        <v>MENAID-2024-1205</v>
      </c>
      <c r="C349" s="6" t="s">
        <v>405</v>
      </c>
      <c r="D349" t="s">
        <v>12</v>
      </c>
      <c r="E349" s="1">
        <v>45583</v>
      </c>
      <c r="F349" s="1">
        <v>45948</v>
      </c>
      <c r="G349">
        <v>1060000</v>
      </c>
      <c r="I349">
        <v>609500</v>
      </c>
      <c r="J349">
        <v>500000</v>
      </c>
      <c r="K349" s="2">
        <f t="shared" si="5"/>
        <v>1669500</v>
      </c>
      <c r="L349" s="2">
        <v>2180</v>
      </c>
      <c r="M349">
        <v>2070</v>
      </c>
      <c r="N349">
        <v>110</v>
      </c>
    </row>
    <row r="350" spans="1:14" x14ac:dyDescent="0.3">
      <c r="A350" t="s">
        <v>307</v>
      </c>
      <c r="B350" s="6" t="str">
        <f>HYPERLINK("https://mennonite.britecorepro.com/gateway?file=core.router&amp;method=routeEntity&amp;entity_type=policy&amp;entity_number=MENAID-2024-1208", "MENAID-2024-1208")</f>
        <v>MENAID-2024-1208</v>
      </c>
      <c r="C350" s="6" t="s">
        <v>405</v>
      </c>
      <c r="D350" t="s">
        <v>12</v>
      </c>
      <c r="E350" s="1">
        <v>45590</v>
      </c>
      <c r="F350" s="1">
        <v>45955</v>
      </c>
      <c r="G350">
        <v>842000</v>
      </c>
      <c r="I350">
        <v>421000</v>
      </c>
      <c r="J350">
        <v>300000</v>
      </c>
      <c r="K350" s="2">
        <f t="shared" si="5"/>
        <v>1263000</v>
      </c>
      <c r="L350" s="2">
        <v>1192</v>
      </c>
      <c r="M350">
        <v>1112</v>
      </c>
      <c r="N350">
        <v>80</v>
      </c>
    </row>
    <row r="351" spans="1:14" x14ac:dyDescent="0.3">
      <c r="A351" t="s">
        <v>334</v>
      </c>
      <c r="B351" s="6" t="str">
        <f>HYPERLINK("https://mennonite.britecorepro.com/gateway?file=core.router&amp;method=routeEntity&amp;entity_type=policy&amp;entity_number=MENAID-2024-1211", "MENAID-2024-1211")</f>
        <v>MENAID-2024-1211</v>
      </c>
      <c r="C351" s="6" t="s">
        <v>405</v>
      </c>
      <c r="D351" t="s">
        <v>28</v>
      </c>
      <c r="E351" s="1">
        <v>45582</v>
      </c>
      <c r="F351" s="1">
        <v>45947</v>
      </c>
      <c r="I351">
        <v>35000</v>
      </c>
      <c r="J351">
        <v>500000</v>
      </c>
      <c r="K351" s="2">
        <f t="shared" si="5"/>
        <v>35000</v>
      </c>
      <c r="L351" s="2">
        <v>206</v>
      </c>
      <c r="M351">
        <v>96</v>
      </c>
      <c r="N351">
        <v>110</v>
      </c>
    </row>
    <row r="352" spans="1:14" x14ac:dyDescent="0.3">
      <c r="A352" t="s">
        <v>277</v>
      </c>
      <c r="B352" s="6" t="str">
        <f>HYPERLINK("https://mennonite.britecorepro.com/gateway?file=core.router&amp;method=routeEntity&amp;entity_type=policy&amp;entity_number=MENAID-2024-1217", "MENAID-2024-1217")</f>
        <v>MENAID-2024-1217</v>
      </c>
      <c r="C352" s="6" t="s">
        <v>405</v>
      </c>
      <c r="D352" t="s">
        <v>16</v>
      </c>
      <c r="E352" s="1">
        <v>45596</v>
      </c>
      <c r="F352" s="1">
        <v>45961</v>
      </c>
      <c r="G352">
        <v>558000</v>
      </c>
      <c r="I352">
        <v>1000</v>
      </c>
      <c r="J352">
        <v>500000</v>
      </c>
      <c r="K352" s="2">
        <f t="shared" si="5"/>
        <v>559000</v>
      </c>
      <c r="L352" s="2">
        <v>1524</v>
      </c>
      <c r="M352">
        <v>1484</v>
      </c>
      <c r="N352">
        <v>40</v>
      </c>
    </row>
    <row r="353" spans="1:14" x14ac:dyDescent="0.3">
      <c r="A353" t="s">
        <v>246</v>
      </c>
      <c r="B353" s="6" t="str">
        <f>HYPERLINK("https://mennonite.britecorepro.com/gateway?file=core.router&amp;method=routeEntity&amp;entity_type=policy&amp;entity_number=MENAID-2024-1218", "MENAID-2024-1218")</f>
        <v>MENAID-2024-1218</v>
      </c>
      <c r="C353" s="6" t="s">
        <v>405</v>
      </c>
      <c r="D353" t="s">
        <v>28</v>
      </c>
      <c r="E353" s="1">
        <v>45604</v>
      </c>
      <c r="F353" s="1">
        <v>45969</v>
      </c>
      <c r="I353">
        <v>35000</v>
      </c>
      <c r="J353">
        <v>500000</v>
      </c>
      <c r="K353" s="2">
        <f t="shared" si="5"/>
        <v>35000</v>
      </c>
      <c r="L353" s="2">
        <v>190</v>
      </c>
      <c r="M353">
        <v>80</v>
      </c>
      <c r="N353">
        <v>110</v>
      </c>
    </row>
    <row r="354" spans="1:14" x14ac:dyDescent="0.3">
      <c r="A354" t="s">
        <v>247</v>
      </c>
      <c r="B354" s="6" t="str">
        <f>HYPERLINK("https://mennonite.britecorepro.com/gateway?file=core.router&amp;method=routeEntity&amp;entity_type=policy&amp;entity_number=MENAID-2024-1219", "MENAID-2024-1219")</f>
        <v>MENAID-2024-1219</v>
      </c>
      <c r="C354" s="6" t="s">
        <v>405</v>
      </c>
      <c r="D354" t="s">
        <v>16</v>
      </c>
      <c r="E354" s="1">
        <v>45604</v>
      </c>
      <c r="F354" s="1">
        <v>45969</v>
      </c>
      <c r="G354">
        <v>437000</v>
      </c>
      <c r="I354">
        <v>1000</v>
      </c>
      <c r="J354">
        <v>500000</v>
      </c>
      <c r="K354" s="2">
        <f t="shared" si="5"/>
        <v>438000</v>
      </c>
      <c r="L354" s="2">
        <v>932</v>
      </c>
      <c r="M354">
        <v>892</v>
      </c>
      <c r="N354">
        <v>40</v>
      </c>
    </row>
    <row r="355" spans="1:14" x14ac:dyDescent="0.3">
      <c r="A355" t="s">
        <v>67</v>
      </c>
      <c r="B355" s="6" t="str">
        <f>HYPERLINK("https://mennonite.britecorepro.com/gateway?file=core.router&amp;method=routeEntity&amp;entity_type=policy&amp;entity_number=MENAID-2024-1222", "MENAID-2024-1222")</f>
        <v>MENAID-2024-1222</v>
      </c>
      <c r="C355" s="6" t="s">
        <v>405</v>
      </c>
      <c r="D355" t="s">
        <v>12</v>
      </c>
      <c r="E355" s="1">
        <v>45646</v>
      </c>
      <c r="F355" s="1">
        <v>46011</v>
      </c>
      <c r="G355">
        <v>310000</v>
      </c>
      <c r="I355">
        <v>178500</v>
      </c>
      <c r="J355">
        <v>300000</v>
      </c>
      <c r="K355" s="2">
        <f t="shared" si="5"/>
        <v>488500</v>
      </c>
      <c r="L355" s="2">
        <v>780</v>
      </c>
      <c r="M355">
        <v>700</v>
      </c>
      <c r="N355">
        <v>80</v>
      </c>
    </row>
    <row r="356" spans="1:14" x14ac:dyDescent="0.3">
      <c r="A356" t="s">
        <v>126</v>
      </c>
      <c r="B356" s="6" t="str">
        <f>HYPERLINK("https://mennonite.britecorepro.com/gateway?file=core.router&amp;method=routeEntity&amp;entity_type=policy&amp;entity_number=MENAID-2024-1225", "MENAID-2024-1225")</f>
        <v>MENAID-2024-1225</v>
      </c>
      <c r="C356" s="6" t="s">
        <v>405</v>
      </c>
      <c r="D356" t="s">
        <v>68</v>
      </c>
      <c r="E356" s="1">
        <v>45632</v>
      </c>
      <c r="F356" s="1">
        <v>45997</v>
      </c>
      <c r="G356">
        <v>2130000</v>
      </c>
      <c r="H356">
        <v>65000</v>
      </c>
      <c r="I356">
        <v>415000</v>
      </c>
      <c r="K356" s="2">
        <f t="shared" si="5"/>
        <v>2610000</v>
      </c>
      <c r="L356" s="2">
        <v>4092</v>
      </c>
      <c r="M356">
        <v>4092</v>
      </c>
    </row>
    <row r="357" spans="1:14" x14ac:dyDescent="0.3">
      <c r="A357" t="s">
        <v>69</v>
      </c>
      <c r="B357" s="6" t="str">
        <f>HYPERLINK("https://mennonite.britecorepro.com/gateway?file=core.router&amp;method=routeEntity&amp;entity_type=policy&amp;entity_number=MENAID-2024-1228", "MENAID-2024-1228")</f>
        <v>MENAID-2024-1228</v>
      </c>
      <c r="C357" s="6" t="s">
        <v>405</v>
      </c>
      <c r="D357" t="s">
        <v>68</v>
      </c>
      <c r="E357" s="1">
        <v>45646</v>
      </c>
      <c r="F357" s="1">
        <v>46011</v>
      </c>
      <c r="G357">
        <v>865000</v>
      </c>
      <c r="I357">
        <v>129750</v>
      </c>
      <c r="K357" s="2">
        <f t="shared" si="5"/>
        <v>994750</v>
      </c>
      <c r="L357" s="2">
        <v>1306</v>
      </c>
      <c r="M357">
        <v>1306</v>
      </c>
    </row>
    <row r="358" spans="1:14" x14ac:dyDescent="0.3">
      <c r="A358" t="s">
        <v>99</v>
      </c>
      <c r="B358" s="6" t="str">
        <f>HYPERLINK("https://mennonite.britecorepro.com/gateway?file=core.router&amp;method=routeEntity&amp;entity_type=policy&amp;entity_number=MENAID-2024-1229", "MENAID-2024-1229")</f>
        <v>MENAID-2024-1229</v>
      </c>
      <c r="C358" s="6" t="s">
        <v>405</v>
      </c>
      <c r="D358" t="s">
        <v>12</v>
      </c>
      <c r="E358" s="1">
        <v>45639</v>
      </c>
      <c r="F358" s="1">
        <v>46004</v>
      </c>
      <c r="G358">
        <v>659000</v>
      </c>
      <c r="I358">
        <v>329500</v>
      </c>
      <c r="J358">
        <v>500000</v>
      </c>
      <c r="K358" s="2">
        <f t="shared" si="5"/>
        <v>988500</v>
      </c>
      <c r="L358" s="2">
        <v>965</v>
      </c>
      <c r="M358">
        <v>855</v>
      </c>
      <c r="N358">
        <v>110</v>
      </c>
    </row>
    <row r="359" spans="1:14" x14ac:dyDescent="0.3">
      <c r="A359" t="s">
        <v>78</v>
      </c>
      <c r="B359" s="6" t="str">
        <f>HYPERLINK("https://mennonite.britecorepro.com/gateway?file=core.router&amp;method=routeEntity&amp;entity_type=policy&amp;entity_number=MENAID-2024-1231", "MENAID-2024-1231")</f>
        <v>MENAID-2024-1231</v>
      </c>
      <c r="C359" s="6" t="s">
        <v>405</v>
      </c>
      <c r="D359" t="s">
        <v>12</v>
      </c>
      <c r="E359" s="1">
        <v>45645</v>
      </c>
      <c r="F359" s="1">
        <v>46010</v>
      </c>
      <c r="G359">
        <v>1307000</v>
      </c>
      <c r="I359">
        <v>653500</v>
      </c>
      <c r="J359">
        <v>300000</v>
      </c>
      <c r="K359" s="2">
        <f t="shared" si="5"/>
        <v>1960500</v>
      </c>
      <c r="L359" s="2">
        <v>2414</v>
      </c>
      <c r="M359">
        <v>2334</v>
      </c>
      <c r="N359">
        <v>80</v>
      </c>
    </row>
    <row r="360" spans="1:14" x14ac:dyDescent="0.3">
      <c r="B360" s="6"/>
      <c r="C360" s="6"/>
      <c r="E360" s="1"/>
      <c r="F360" s="1"/>
      <c r="J360" s="7">
        <f>SUM(J2:J359)</f>
        <v>122900000</v>
      </c>
      <c r="K360" s="8">
        <f t="shared" ref="K360:N360" si="6">SUM(K2:K359)</f>
        <v>321242938</v>
      </c>
      <c r="L360" s="8">
        <f t="shared" si="6"/>
        <v>488857.77</v>
      </c>
      <c r="M360" s="7">
        <f t="shared" si="6"/>
        <v>463319</v>
      </c>
      <c r="N360" s="7">
        <f t="shared" si="6"/>
        <v>25538.77</v>
      </c>
    </row>
    <row r="361" spans="1:14" x14ac:dyDescent="0.3">
      <c r="B361" s="6"/>
      <c r="C361" s="6"/>
      <c r="E361" s="1"/>
      <c r="F361" s="1"/>
      <c r="K361" s="2"/>
      <c r="L361" s="2"/>
    </row>
    <row r="362" spans="1:14" x14ac:dyDescent="0.3">
      <c r="A362" t="s">
        <v>313</v>
      </c>
      <c r="B362" s="6" t="str">
        <f>HYPERLINK("https://mennonite.britecorepro.com/gateway?file=core.router&amp;method=routeEntity&amp;entity_type=policy&amp;entity_number=03-0 U 01A", "03-0 U 01A")</f>
        <v>03-0 U 01A</v>
      </c>
      <c r="C362" s="6" t="s">
        <v>406</v>
      </c>
      <c r="D362" t="s">
        <v>16</v>
      </c>
      <c r="E362" s="1">
        <v>45587</v>
      </c>
      <c r="F362" s="1">
        <v>45952</v>
      </c>
      <c r="G362">
        <v>743000</v>
      </c>
      <c r="I362">
        <v>1000</v>
      </c>
      <c r="J362">
        <v>300000</v>
      </c>
      <c r="K362" s="2">
        <f t="shared" ref="K362:K377" si="7">G362+H362+I362</f>
        <v>744000</v>
      </c>
      <c r="L362" s="2">
        <v>1853</v>
      </c>
      <c r="M362">
        <v>1823</v>
      </c>
      <c r="N362">
        <v>30</v>
      </c>
    </row>
    <row r="363" spans="1:14" x14ac:dyDescent="0.3">
      <c r="A363" t="s">
        <v>81</v>
      </c>
      <c r="B363" s="6" t="str">
        <f>HYPERLINK("https://mennonite.britecorepro.com/gateway?file=core.router&amp;method=routeEntity&amp;entity_type=policy&amp;entity_number=08-1 W 03B", "08-1 W 03B")</f>
        <v>08-1 W 03B</v>
      </c>
      <c r="C363" s="6" t="s">
        <v>406</v>
      </c>
      <c r="D363" t="s">
        <v>16</v>
      </c>
      <c r="E363" s="1">
        <v>45643</v>
      </c>
      <c r="F363" s="1">
        <v>46008</v>
      </c>
      <c r="G363">
        <v>720000</v>
      </c>
      <c r="I363">
        <v>20000</v>
      </c>
      <c r="J363">
        <v>300000</v>
      </c>
      <c r="K363" s="2">
        <f t="shared" si="7"/>
        <v>740000</v>
      </c>
      <c r="L363" s="2">
        <v>1829</v>
      </c>
      <c r="M363">
        <v>1799</v>
      </c>
      <c r="N363">
        <v>30</v>
      </c>
    </row>
    <row r="364" spans="1:14" x14ac:dyDescent="0.3">
      <c r="A364" t="s">
        <v>398</v>
      </c>
      <c r="B364" s="6" t="str">
        <f>HYPERLINK("https://mennonite.britecorepro.com/gateway?file=core.router&amp;method=routeEntity&amp;entity_type=policy&amp;entity_number=20-0 K 02C", "20-0 K 02C")</f>
        <v>20-0 K 02C</v>
      </c>
      <c r="C364" s="6" t="s">
        <v>406</v>
      </c>
      <c r="D364" t="s">
        <v>28</v>
      </c>
      <c r="E364" s="1">
        <v>45566</v>
      </c>
      <c r="F364" s="1">
        <v>45931</v>
      </c>
      <c r="I364">
        <v>35000</v>
      </c>
      <c r="J364">
        <v>300000</v>
      </c>
      <c r="K364" s="2">
        <f t="shared" si="7"/>
        <v>35000</v>
      </c>
      <c r="L364" s="2">
        <v>203</v>
      </c>
      <c r="M364">
        <v>123</v>
      </c>
      <c r="N364">
        <v>80</v>
      </c>
    </row>
    <row r="365" spans="1:14" x14ac:dyDescent="0.3">
      <c r="A365" t="s">
        <v>301</v>
      </c>
      <c r="B365" s="6" t="str">
        <f>HYPERLINK("https://mennonite.britecorepro.com/gateway?file=core.router&amp;method=routeEntity&amp;entity_type=policy&amp;entity_number=21-1 M 15B", "21-1 M 15B")</f>
        <v>21-1 M 15B</v>
      </c>
      <c r="C365" s="6" t="s">
        <v>406</v>
      </c>
      <c r="D365" t="s">
        <v>12</v>
      </c>
      <c r="E365" s="1">
        <v>45591</v>
      </c>
      <c r="F365" s="1">
        <v>45956</v>
      </c>
      <c r="G365">
        <v>669000</v>
      </c>
      <c r="I365">
        <v>334500</v>
      </c>
      <c r="J365">
        <v>500000</v>
      </c>
      <c r="K365" s="2">
        <f t="shared" si="7"/>
        <v>1003500</v>
      </c>
      <c r="L365" s="2">
        <v>1286</v>
      </c>
      <c r="M365">
        <v>1176</v>
      </c>
      <c r="N365">
        <v>110</v>
      </c>
    </row>
    <row r="366" spans="1:14" x14ac:dyDescent="0.3">
      <c r="A366" t="s">
        <v>349</v>
      </c>
      <c r="B366" s="6" t="str">
        <f>HYPERLINK("https://mennonite.britecorepro.com/gateway?file=core.router&amp;method=routeEntity&amp;entity_type=policy&amp;entity_number=24-0 C 02", "24-0 C 02")</f>
        <v>24-0 C 02</v>
      </c>
      <c r="C366" s="6" t="s">
        <v>406</v>
      </c>
      <c r="D366" t="s">
        <v>68</v>
      </c>
      <c r="E366" s="1">
        <v>45578</v>
      </c>
      <c r="F366" s="1">
        <v>45943</v>
      </c>
      <c r="G366">
        <v>387000</v>
      </c>
      <c r="I366">
        <v>1000</v>
      </c>
      <c r="K366" s="2">
        <f t="shared" si="7"/>
        <v>388000</v>
      </c>
      <c r="L366" s="2">
        <v>1325</v>
      </c>
      <c r="M366">
        <v>1325</v>
      </c>
    </row>
    <row r="367" spans="1:14" x14ac:dyDescent="0.3">
      <c r="A367" t="s">
        <v>350</v>
      </c>
      <c r="B367" s="6" t="str">
        <f>HYPERLINK("https://mennonite.britecorepro.com/gateway?file=core.router&amp;method=routeEntity&amp;entity_type=policy&amp;entity_number=24-0 C 02A", "24-0 C 02A")</f>
        <v>24-0 C 02A</v>
      </c>
      <c r="C367" s="6" t="s">
        <v>406</v>
      </c>
      <c r="D367" t="s">
        <v>68</v>
      </c>
      <c r="E367" s="1">
        <v>45578</v>
      </c>
      <c r="F367" s="1">
        <v>45943</v>
      </c>
      <c r="G367">
        <v>3280000</v>
      </c>
      <c r="I367">
        <v>348754</v>
      </c>
      <c r="K367" s="2">
        <f t="shared" si="7"/>
        <v>3628754</v>
      </c>
      <c r="L367" s="2">
        <v>4600</v>
      </c>
      <c r="M367">
        <v>4600</v>
      </c>
    </row>
    <row r="368" spans="1:14" x14ac:dyDescent="0.3">
      <c r="A368" t="s">
        <v>139</v>
      </c>
      <c r="B368" s="6" t="str">
        <f>HYPERLINK("https://mennonite.britecorepro.com/gateway?file=core.router&amp;method=routeEntity&amp;entity_type=policy&amp;entity_number=24-0 T 02", "24-0 T 02")</f>
        <v>24-0 T 02</v>
      </c>
      <c r="C368" s="6" t="s">
        <v>406</v>
      </c>
      <c r="D368" t="s">
        <v>12</v>
      </c>
      <c r="E368" s="1">
        <v>45628</v>
      </c>
      <c r="F368" s="1">
        <v>45993</v>
      </c>
      <c r="G368">
        <v>454000</v>
      </c>
      <c r="I368">
        <v>227000</v>
      </c>
      <c r="J368">
        <v>300000</v>
      </c>
      <c r="K368" s="2">
        <f t="shared" si="7"/>
        <v>681000</v>
      </c>
      <c r="L368" s="2">
        <v>734</v>
      </c>
      <c r="M368">
        <v>654</v>
      </c>
      <c r="N368">
        <v>80</v>
      </c>
    </row>
    <row r="369" spans="1:14" x14ac:dyDescent="0.3">
      <c r="A369" t="s">
        <v>311</v>
      </c>
      <c r="B369" s="6" t="str">
        <f>HYPERLINK("https://mennonite.britecorepro.com/gateway?file=core.router&amp;method=routeEntity&amp;entity_type=policy&amp;entity_number=24-0 W 02E", "24-0 W 02E")</f>
        <v>24-0 W 02E</v>
      </c>
      <c r="C369" s="6" t="s">
        <v>406</v>
      </c>
      <c r="D369" t="s">
        <v>12</v>
      </c>
      <c r="E369" s="1">
        <v>45588</v>
      </c>
      <c r="F369" s="1">
        <v>45953</v>
      </c>
      <c r="G369">
        <v>249000</v>
      </c>
      <c r="H369">
        <v>271000</v>
      </c>
      <c r="I369">
        <v>134500</v>
      </c>
      <c r="J369">
        <v>300000</v>
      </c>
      <c r="K369" s="2">
        <f t="shared" si="7"/>
        <v>654500</v>
      </c>
      <c r="L369" s="2">
        <v>2191</v>
      </c>
      <c r="M369">
        <v>2111</v>
      </c>
      <c r="N369">
        <v>80</v>
      </c>
    </row>
    <row r="370" spans="1:14" x14ac:dyDescent="0.3">
      <c r="A370" t="s">
        <v>346</v>
      </c>
      <c r="B370" s="6" t="str">
        <f>HYPERLINK("https://mennonite.britecorepro.com/gateway?file=core.router&amp;method=routeEntity&amp;entity_type=policy&amp;entity_number=25-2 B 04E", "25-2 B 04E")</f>
        <v>25-2 B 04E</v>
      </c>
      <c r="C370" s="6" t="s">
        <v>406</v>
      </c>
      <c r="D370" t="s">
        <v>12</v>
      </c>
      <c r="E370" s="1">
        <v>45579</v>
      </c>
      <c r="F370" s="1">
        <v>45944</v>
      </c>
      <c r="G370">
        <v>1601000</v>
      </c>
      <c r="I370">
        <v>800500</v>
      </c>
      <c r="J370">
        <v>500000</v>
      </c>
      <c r="K370" s="2">
        <f t="shared" si="7"/>
        <v>2401500</v>
      </c>
      <c r="L370" s="2">
        <v>4378</v>
      </c>
      <c r="M370">
        <v>4268</v>
      </c>
      <c r="N370">
        <v>110</v>
      </c>
    </row>
    <row r="371" spans="1:14" x14ac:dyDescent="0.3">
      <c r="A371" t="s">
        <v>212</v>
      </c>
      <c r="B371" s="6" t="str">
        <f>HYPERLINK("https://mennonite.britecorepro.com/gateway?file=core.router&amp;method=routeEntity&amp;entity_type=policy&amp;entity_number=28-0 F 03", "28-0 F 03")</f>
        <v>28-0 F 03</v>
      </c>
      <c r="C371" s="6" t="s">
        <v>406</v>
      </c>
      <c r="D371" t="s">
        <v>12</v>
      </c>
      <c r="E371" s="1">
        <v>45612</v>
      </c>
      <c r="F371" s="1">
        <v>45977</v>
      </c>
      <c r="G371">
        <v>558000</v>
      </c>
      <c r="I371">
        <v>279000</v>
      </c>
      <c r="J371">
        <v>300000</v>
      </c>
      <c r="K371" s="2">
        <f t="shared" si="7"/>
        <v>837000</v>
      </c>
      <c r="L371" s="2">
        <v>1012</v>
      </c>
      <c r="M371">
        <v>932</v>
      </c>
      <c r="N371">
        <v>80</v>
      </c>
    </row>
    <row r="372" spans="1:14" x14ac:dyDescent="0.3">
      <c r="A372" t="s">
        <v>98</v>
      </c>
      <c r="B372" s="6" t="str">
        <f>HYPERLINK("https://mennonite.britecorepro.com/gateway?file=core.router&amp;method=routeEntity&amp;entity_type=policy&amp;entity_number=28-0 F 03F", "28-0 F 03F")</f>
        <v>28-0 F 03F</v>
      </c>
      <c r="C372" s="6" t="s">
        <v>406</v>
      </c>
      <c r="D372" t="s">
        <v>16</v>
      </c>
      <c r="E372" s="1">
        <v>45639</v>
      </c>
      <c r="F372" s="1">
        <v>46004</v>
      </c>
      <c r="G372">
        <v>287000</v>
      </c>
      <c r="I372">
        <v>1000</v>
      </c>
      <c r="J372">
        <v>300000</v>
      </c>
      <c r="K372" s="2">
        <f t="shared" si="7"/>
        <v>288000</v>
      </c>
      <c r="L372" s="2">
        <v>901</v>
      </c>
      <c r="M372">
        <v>871</v>
      </c>
      <c r="N372">
        <v>30</v>
      </c>
    </row>
    <row r="373" spans="1:14" x14ac:dyDescent="0.3">
      <c r="A373" t="s">
        <v>353</v>
      </c>
      <c r="B373" s="6" t="str">
        <f>HYPERLINK("https://mennonite.britecorepro.com/gateway?file=core.router&amp;method=routeEntity&amp;entity_type=policy&amp;entity_number=MENAID-2021-1112", "MENAID-2021-1112")</f>
        <v>MENAID-2021-1112</v>
      </c>
      <c r="C373" s="6" t="s">
        <v>406</v>
      </c>
      <c r="D373" t="s">
        <v>12</v>
      </c>
      <c r="E373" s="1">
        <v>45577</v>
      </c>
      <c r="F373" s="1">
        <v>45942</v>
      </c>
      <c r="G373">
        <v>416000</v>
      </c>
      <c r="I373">
        <v>208000</v>
      </c>
      <c r="J373">
        <v>300000</v>
      </c>
      <c r="K373" s="2">
        <f t="shared" si="7"/>
        <v>624000</v>
      </c>
      <c r="L373" s="2">
        <v>854</v>
      </c>
      <c r="M373">
        <v>774</v>
      </c>
      <c r="N373">
        <v>80</v>
      </c>
    </row>
    <row r="374" spans="1:14" x14ac:dyDescent="0.3">
      <c r="A374" t="s">
        <v>53</v>
      </c>
      <c r="B374" s="6" t="str">
        <f>HYPERLINK("https://mennonite.britecorepro.com/gateway?file=core.router&amp;method=routeEntity&amp;entity_type=policy&amp;entity_number=MENAID-2021-1165", "MENAID-2021-1165")</f>
        <v>MENAID-2021-1165</v>
      </c>
      <c r="C374" s="6" t="s">
        <v>406</v>
      </c>
      <c r="D374" t="s">
        <v>12</v>
      </c>
      <c r="E374" s="1">
        <v>45648</v>
      </c>
      <c r="F374" s="1">
        <v>46013</v>
      </c>
      <c r="G374">
        <v>447000</v>
      </c>
      <c r="H374">
        <v>120000</v>
      </c>
      <c r="I374">
        <v>223500</v>
      </c>
      <c r="J374">
        <v>500000</v>
      </c>
      <c r="K374" s="2">
        <f t="shared" si="7"/>
        <v>790500</v>
      </c>
      <c r="L374" s="2">
        <v>1301</v>
      </c>
      <c r="M374">
        <v>1191</v>
      </c>
      <c r="N374">
        <v>110</v>
      </c>
    </row>
    <row r="375" spans="1:14" x14ac:dyDescent="0.3">
      <c r="A375" t="s">
        <v>333</v>
      </c>
      <c r="B375" s="6" t="str">
        <f>HYPERLINK("https://mennonite.britecorepro.com/gateway?file=core.router&amp;method=routeEntity&amp;entity_type=policy&amp;entity_number=MENAID-2022-1118", "MENAID-2022-1118")</f>
        <v>MENAID-2022-1118</v>
      </c>
      <c r="C375" s="6" t="s">
        <v>406</v>
      </c>
      <c r="D375" t="s">
        <v>16</v>
      </c>
      <c r="E375" s="1">
        <v>45582</v>
      </c>
      <c r="F375" s="1">
        <v>45947</v>
      </c>
      <c r="G375">
        <v>241000</v>
      </c>
      <c r="I375">
        <v>1000</v>
      </c>
      <c r="J375">
        <v>300000</v>
      </c>
      <c r="K375" s="2">
        <f t="shared" si="7"/>
        <v>242000</v>
      </c>
      <c r="L375" s="2">
        <v>729</v>
      </c>
      <c r="M375">
        <v>699</v>
      </c>
      <c r="N375">
        <v>30</v>
      </c>
    </row>
    <row r="376" spans="1:14" x14ac:dyDescent="0.3">
      <c r="A376" t="s">
        <v>224</v>
      </c>
      <c r="B376" s="6" t="str">
        <f>HYPERLINK("https://mennonite.britecorepro.com/gateway?file=core.router&amp;method=routeEntity&amp;entity_type=policy&amp;entity_number=MENAID-2023-1102", "MENAID-2023-1102")</f>
        <v>MENAID-2023-1102</v>
      </c>
      <c r="C376" s="6" t="s">
        <v>406</v>
      </c>
      <c r="D376" t="s">
        <v>28</v>
      </c>
      <c r="E376" s="1">
        <v>45609</v>
      </c>
      <c r="F376" s="1">
        <v>45974</v>
      </c>
      <c r="I376">
        <v>35000</v>
      </c>
      <c r="J376">
        <v>500000</v>
      </c>
      <c r="K376" s="2">
        <f t="shared" si="7"/>
        <v>35000</v>
      </c>
      <c r="L376" s="2">
        <v>201</v>
      </c>
      <c r="M376">
        <v>91</v>
      </c>
      <c r="N376">
        <v>110</v>
      </c>
    </row>
    <row r="377" spans="1:14" x14ac:dyDescent="0.3">
      <c r="A377" t="s">
        <v>17</v>
      </c>
      <c r="B377" s="6" t="str">
        <f>HYPERLINK("https://mennonite.britecorepro.com/gateway?file=core.router&amp;method=routeEntity&amp;entity_type=policy&amp;entity_number=MENAID-2024-1223", "MENAID-2024-1223")</f>
        <v>MENAID-2024-1223</v>
      </c>
      <c r="C377" s="6" t="s">
        <v>406</v>
      </c>
      <c r="D377" t="s">
        <v>12</v>
      </c>
      <c r="E377" s="1">
        <v>45657</v>
      </c>
      <c r="F377" s="1">
        <v>46022</v>
      </c>
      <c r="G377">
        <v>620000</v>
      </c>
      <c r="I377">
        <v>310000</v>
      </c>
      <c r="J377">
        <v>500000</v>
      </c>
      <c r="K377" s="2">
        <f t="shared" si="7"/>
        <v>930000</v>
      </c>
      <c r="L377" s="2">
        <v>836</v>
      </c>
      <c r="M377">
        <v>726</v>
      </c>
      <c r="N377">
        <v>110</v>
      </c>
    </row>
    <row r="378" spans="1:14" x14ac:dyDescent="0.3">
      <c r="B378" s="6"/>
      <c r="C378" s="6"/>
      <c r="E378" s="1"/>
      <c r="F378" s="1"/>
      <c r="J378" s="7">
        <f>SUM(J362:J377)</f>
        <v>5200000</v>
      </c>
      <c r="K378" s="7">
        <f t="shared" ref="K378:N378" si="8">SUM(K362:K377)</f>
        <v>14022754</v>
      </c>
      <c r="L378" s="7">
        <f t="shared" si="8"/>
        <v>24233</v>
      </c>
      <c r="M378" s="7">
        <f t="shared" si="8"/>
        <v>23163</v>
      </c>
      <c r="N378" s="7">
        <f t="shared" si="8"/>
        <v>1070</v>
      </c>
    </row>
    <row r="379" spans="1:14" x14ac:dyDescent="0.3">
      <c r="B379" s="6"/>
      <c r="C379" s="6"/>
      <c r="E379" s="1"/>
      <c r="F379" s="1"/>
      <c r="K379" s="2"/>
      <c r="L379" s="2"/>
    </row>
    <row r="380" spans="1:14" x14ac:dyDescent="0.3">
      <c r="A380" t="s">
        <v>120</v>
      </c>
      <c r="B380" s="6" t="str">
        <f>HYPERLINK("https://mennonite.britecorepro.com/gateway?file=core.router&amp;method=routeEntity&amp;entity_type=policy&amp;entity_number=21-1 H 12B", "21-1 H 12B")</f>
        <v>21-1 H 12B</v>
      </c>
      <c r="C380" s="6" t="s">
        <v>407</v>
      </c>
      <c r="D380" t="s">
        <v>12</v>
      </c>
      <c r="E380" s="1">
        <v>45633</v>
      </c>
      <c r="F380" s="1">
        <v>45998</v>
      </c>
      <c r="G380">
        <v>465000</v>
      </c>
      <c r="I380">
        <v>232500</v>
      </c>
      <c r="J380">
        <v>300000</v>
      </c>
      <c r="K380" s="2">
        <f t="shared" ref="K380:K391" si="9">G380+H380+I380</f>
        <v>697500</v>
      </c>
      <c r="L380" s="2">
        <v>728</v>
      </c>
      <c r="M380">
        <v>648</v>
      </c>
      <c r="N380">
        <v>80</v>
      </c>
    </row>
    <row r="381" spans="1:14" x14ac:dyDescent="0.3">
      <c r="A381" t="s">
        <v>194</v>
      </c>
      <c r="B381" s="6" t="str">
        <f>HYPERLINK("https://mennonite.britecorepro.com/gateway?file=core.router&amp;method=routeEntity&amp;entity_type=policy&amp;entity_number=38-0 K 01", "38-0 K 01")</f>
        <v>38-0 K 01</v>
      </c>
      <c r="C381" s="6" t="s">
        <v>407</v>
      </c>
      <c r="D381" t="s">
        <v>12</v>
      </c>
      <c r="E381" s="1">
        <v>45616</v>
      </c>
      <c r="F381" s="1">
        <v>45981</v>
      </c>
      <c r="G381">
        <v>502000</v>
      </c>
      <c r="I381">
        <v>251000</v>
      </c>
      <c r="J381">
        <v>300000</v>
      </c>
      <c r="K381" s="2">
        <f t="shared" si="9"/>
        <v>753000</v>
      </c>
      <c r="L381" s="2">
        <v>1156</v>
      </c>
      <c r="M381">
        <v>1076</v>
      </c>
      <c r="N381">
        <v>80</v>
      </c>
    </row>
    <row r="382" spans="1:14" x14ac:dyDescent="0.3">
      <c r="A382" t="s">
        <v>262</v>
      </c>
      <c r="B382" s="6" t="str">
        <f>HYPERLINK("https://mennonite.britecorepro.com/gateway?file=core.router&amp;method=routeEntity&amp;entity_type=policy&amp;entity_number=41-0 V 03J", "41-0 V 03J")</f>
        <v>41-0 V 03J</v>
      </c>
      <c r="C382" s="6" t="s">
        <v>407</v>
      </c>
      <c r="D382" t="s">
        <v>12</v>
      </c>
      <c r="E382" s="1">
        <v>45598</v>
      </c>
      <c r="F382" s="1">
        <v>45963</v>
      </c>
      <c r="G382">
        <v>293000</v>
      </c>
      <c r="I382">
        <v>146500</v>
      </c>
      <c r="J382">
        <v>500000</v>
      </c>
      <c r="K382" s="2">
        <f t="shared" si="9"/>
        <v>439500</v>
      </c>
      <c r="L382" s="2">
        <v>523</v>
      </c>
      <c r="M382">
        <v>413</v>
      </c>
      <c r="N382">
        <v>110</v>
      </c>
    </row>
    <row r="383" spans="1:14" x14ac:dyDescent="0.3">
      <c r="A383" t="s">
        <v>274</v>
      </c>
      <c r="B383" s="6" t="str">
        <f>HYPERLINK("https://mennonite.britecorepro.com/gateway?file=core.router&amp;method=routeEntity&amp;entity_type=policy&amp;entity_number=42-0 V 10A", "42-0 V 10A")</f>
        <v>42-0 V 10A</v>
      </c>
      <c r="C383" s="6" t="s">
        <v>407</v>
      </c>
      <c r="D383" t="s">
        <v>12</v>
      </c>
      <c r="E383" s="1">
        <v>45596</v>
      </c>
      <c r="F383" s="1">
        <v>45961</v>
      </c>
      <c r="G383">
        <v>525000</v>
      </c>
      <c r="I383">
        <v>262500</v>
      </c>
      <c r="J383">
        <v>300000</v>
      </c>
      <c r="K383" s="2">
        <f t="shared" si="9"/>
        <v>787500</v>
      </c>
      <c r="L383" s="2">
        <v>958</v>
      </c>
      <c r="M383">
        <v>878</v>
      </c>
      <c r="N383">
        <v>80</v>
      </c>
    </row>
    <row r="384" spans="1:14" x14ac:dyDescent="0.3">
      <c r="A384" t="s">
        <v>171</v>
      </c>
      <c r="B384" s="6" t="str">
        <f>HYPERLINK("https://mennonite.britecorepro.com/gateway?file=core.router&amp;method=routeEntity&amp;entity_type=policy&amp;entity_number=43-0 F 01", "43-0 F 01")</f>
        <v>43-0 F 01</v>
      </c>
      <c r="C384" s="6" t="s">
        <v>407</v>
      </c>
      <c r="D384" t="s">
        <v>68</v>
      </c>
      <c r="E384" s="1">
        <v>45621</v>
      </c>
      <c r="F384" s="1">
        <v>45986</v>
      </c>
      <c r="G384">
        <v>3275000</v>
      </c>
      <c r="I384">
        <v>80000</v>
      </c>
      <c r="K384" s="2">
        <f t="shared" si="9"/>
        <v>3355000</v>
      </c>
      <c r="L384" s="2">
        <v>5474</v>
      </c>
      <c r="M384">
        <v>5474</v>
      </c>
    </row>
    <row r="385" spans="1:14" x14ac:dyDescent="0.3">
      <c r="A385" t="s">
        <v>195</v>
      </c>
      <c r="B385" s="6" t="str">
        <f>HYPERLINK("https://mennonite.britecorepro.com/gateway?file=core.router&amp;method=routeEntity&amp;entity_type=policy&amp;entity_number=43-0 S 04B", "43-0 S 04B")</f>
        <v>43-0 S 04B</v>
      </c>
      <c r="C385" s="6" t="s">
        <v>407</v>
      </c>
      <c r="D385" t="s">
        <v>12</v>
      </c>
      <c r="E385" s="1">
        <v>45616</v>
      </c>
      <c r="F385" s="1">
        <v>45981</v>
      </c>
      <c r="G385">
        <v>529000</v>
      </c>
      <c r="I385">
        <v>264500</v>
      </c>
      <c r="J385">
        <v>500000</v>
      </c>
      <c r="K385" s="2">
        <f t="shared" si="9"/>
        <v>793500</v>
      </c>
      <c r="L385" s="2">
        <v>991</v>
      </c>
      <c r="M385">
        <v>881</v>
      </c>
      <c r="N385">
        <v>110</v>
      </c>
    </row>
    <row r="386" spans="1:14" x14ac:dyDescent="0.3">
      <c r="A386" t="s">
        <v>399</v>
      </c>
      <c r="B386" s="6" t="str">
        <f>HYPERLINK("https://mennonite.britecorepro.com/gateway?file=core.router&amp;method=routeEntity&amp;entity_type=policy&amp;entity_number=MENAID-2021-1105", "MENAID-2021-1105")</f>
        <v>MENAID-2021-1105</v>
      </c>
      <c r="C386" s="6" t="s">
        <v>407</v>
      </c>
      <c r="D386" t="s">
        <v>12</v>
      </c>
      <c r="E386" s="1">
        <v>45566</v>
      </c>
      <c r="F386" s="1">
        <v>45931</v>
      </c>
      <c r="G386">
        <v>660000</v>
      </c>
      <c r="I386">
        <v>330000</v>
      </c>
      <c r="J386">
        <v>300000</v>
      </c>
      <c r="K386" s="2">
        <f t="shared" si="9"/>
        <v>990000</v>
      </c>
      <c r="L386" s="2">
        <v>1264</v>
      </c>
      <c r="M386">
        <v>1184</v>
      </c>
      <c r="N386">
        <v>80</v>
      </c>
    </row>
    <row r="387" spans="1:14" x14ac:dyDescent="0.3">
      <c r="A387" t="s">
        <v>83</v>
      </c>
      <c r="B387" s="6" t="str">
        <f>HYPERLINK("https://mennonite.britecorepro.com/gateway?file=core.router&amp;method=routeEntity&amp;entity_type=policy&amp;entity_number=MENAID-2021-1110", "MENAID-2021-1110")</f>
        <v>MENAID-2021-1110</v>
      </c>
      <c r="C387" s="6" t="s">
        <v>407</v>
      </c>
      <c r="D387" t="s">
        <v>12</v>
      </c>
      <c r="E387" s="1">
        <v>45643</v>
      </c>
      <c r="F387" s="1">
        <v>46008</v>
      </c>
      <c r="G387">
        <v>472000</v>
      </c>
      <c r="I387">
        <v>236000</v>
      </c>
      <c r="J387">
        <v>500000</v>
      </c>
      <c r="K387" s="2">
        <f t="shared" si="9"/>
        <v>708000</v>
      </c>
      <c r="L387" s="2">
        <v>1231</v>
      </c>
      <c r="M387">
        <v>1121</v>
      </c>
      <c r="N387">
        <v>110</v>
      </c>
    </row>
    <row r="388" spans="1:14" x14ac:dyDescent="0.3">
      <c r="A388" t="s">
        <v>156</v>
      </c>
      <c r="B388" s="6" t="str">
        <f>HYPERLINK("https://mennonite.britecorepro.com/gateway?file=core.router&amp;method=routeEntity&amp;entity_type=policy&amp;entity_number=MENAID-2023-1103", "MENAID-2023-1103")</f>
        <v>MENAID-2023-1103</v>
      </c>
      <c r="C388" s="6" t="s">
        <v>407</v>
      </c>
      <c r="D388" t="s">
        <v>12</v>
      </c>
      <c r="E388" s="1">
        <v>45626</v>
      </c>
      <c r="F388" s="1">
        <v>45991</v>
      </c>
      <c r="G388">
        <v>492000</v>
      </c>
      <c r="I388">
        <v>246000</v>
      </c>
      <c r="J388">
        <v>300000</v>
      </c>
      <c r="K388" s="2">
        <f t="shared" si="9"/>
        <v>738000</v>
      </c>
      <c r="L388" s="2">
        <v>750</v>
      </c>
      <c r="M388">
        <v>670</v>
      </c>
      <c r="N388">
        <v>80</v>
      </c>
    </row>
    <row r="389" spans="1:14" x14ac:dyDescent="0.3">
      <c r="A389" t="s">
        <v>400</v>
      </c>
      <c r="B389" s="6" t="str">
        <f>HYPERLINK("https://mennonite.britecorepro.com/gateway?file=core.router&amp;method=routeEntity&amp;entity_type=policy&amp;entity_number=MENAID-2024-1118", "MENAID-2024-1118")</f>
        <v>MENAID-2024-1118</v>
      </c>
      <c r="C389" s="6" t="s">
        <v>407</v>
      </c>
      <c r="D389" t="s">
        <v>68</v>
      </c>
      <c r="E389" s="1">
        <v>45566</v>
      </c>
      <c r="F389" s="1">
        <v>45931</v>
      </c>
      <c r="G389">
        <v>780000</v>
      </c>
      <c r="I389">
        <v>78000</v>
      </c>
      <c r="K389" s="2">
        <f t="shared" si="9"/>
        <v>858000</v>
      </c>
      <c r="L389" s="2">
        <v>1409</v>
      </c>
      <c r="M389">
        <v>1409</v>
      </c>
    </row>
    <row r="390" spans="1:14" x14ac:dyDescent="0.3">
      <c r="A390" t="s">
        <v>364</v>
      </c>
      <c r="B390" s="6" t="str">
        <f>HYPERLINK("https://mennonite.britecorepro.com/gateway?file=core.router&amp;method=routeEntity&amp;entity_type=policy&amp;entity_number=MENAID-2024-1159", "MENAID-2024-1159")</f>
        <v>MENAID-2024-1159</v>
      </c>
      <c r="C390" s="6" t="s">
        <v>407</v>
      </c>
      <c r="D390" t="s">
        <v>68</v>
      </c>
      <c r="E390" s="1">
        <v>45575</v>
      </c>
      <c r="F390" s="1">
        <v>45940</v>
      </c>
      <c r="G390">
        <v>10493000</v>
      </c>
      <c r="I390">
        <v>1050000</v>
      </c>
      <c r="K390" s="2">
        <f t="shared" si="9"/>
        <v>11543000</v>
      </c>
      <c r="L390" s="2">
        <v>13253</v>
      </c>
      <c r="M390">
        <v>13253</v>
      </c>
    </row>
    <row r="391" spans="1:14" x14ac:dyDescent="0.3">
      <c r="A391" t="s">
        <v>358</v>
      </c>
      <c r="B391" s="6" t="str">
        <f>HYPERLINK("https://mennonite.britecorepro.com/gateway?file=core.router&amp;method=routeEntity&amp;entity_type=policy&amp;entity_number=MENAID-2024-1178", "MENAID-2024-1178")</f>
        <v>MENAID-2024-1178</v>
      </c>
      <c r="C391" s="6" t="s">
        <v>407</v>
      </c>
      <c r="D391" t="s">
        <v>12</v>
      </c>
      <c r="E391" s="1">
        <v>45576</v>
      </c>
      <c r="F391" s="1">
        <v>45941</v>
      </c>
      <c r="G391">
        <v>645000</v>
      </c>
      <c r="I391">
        <v>322500</v>
      </c>
      <c r="J391">
        <v>500000</v>
      </c>
      <c r="K391" s="2">
        <f t="shared" si="9"/>
        <v>967500</v>
      </c>
      <c r="L391" s="2">
        <v>1517</v>
      </c>
      <c r="M391">
        <v>1407</v>
      </c>
      <c r="N391">
        <v>110</v>
      </c>
    </row>
    <row r="392" spans="1:14" x14ac:dyDescent="0.3">
      <c r="J392" s="7">
        <f>SUM(J380:J391)</f>
        <v>3500000</v>
      </c>
      <c r="K392" s="7">
        <f t="shared" ref="K392:N392" si="10">SUM(K380:K391)</f>
        <v>22630500</v>
      </c>
      <c r="L392" s="7">
        <f t="shared" si="10"/>
        <v>29254</v>
      </c>
      <c r="M392" s="7">
        <f t="shared" si="10"/>
        <v>28414</v>
      </c>
      <c r="N392" s="7">
        <f t="shared" si="10"/>
        <v>840</v>
      </c>
    </row>
  </sheetData>
  <sortState xmlns:xlrd2="http://schemas.microsoft.com/office/spreadsheetml/2017/richdata2" ref="A2:N391">
    <sortCondition ref="C2:C3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2024 Premium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Faris</dc:creator>
  <cp:lastModifiedBy>Rich Faris</cp:lastModifiedBy>
  <dcterms:created xsi:type="dcterms:W3CDTF">2025-01-21T21:16:27Z</dcterms:created>
  <dcterms:modified xsi:type="dcterms:W3CDTF">2025-07-17T18:03:24Z</dcterms:modified>
</cp:coreProperties>
</file>