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liveac-my.sharepoint.com/personal/ych227_uclive_ac_nz/Documents/Internship/UC Summer Research/DEA Hardware Project/Figures/Data/"/>
    </mc:Choice>
  </mc:AlternateContent>
  <xr:revisionPtr revIDLastSave="598" documentId="8_{7CD28E53-F47F-4899-93C6-3304AE135AA6}" xr6:coauthVersionLast="47" xr6:coauthVersionMax="47" xr10:uidLastSave="{79868026-B2C4-4982-A973-4152A76257A9}"/>
  <bookViews>
    <workbookView xWindow="-24120" yWindow="2580" windowWidth="24240" windowHeight="13140" activeTab="1" xr2:uid="{CAAECBF7-8F88-4C85-9CBD-3D137456CD87}"/>
  </bookViews>
  <sheets>
    <sheet name="Data" sheetId="1" r:id="rId1"/>
    <sheet name="Uncertaintie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" i="1" l="1"/>
  <c r="S6" i="1"/>
  <c r="S5" i="1"/>
  <c r="S4" i="1"/>
  <c r="S3" i="1"/>
  <c r="S2" i="1"/>
  <c r="R3" i="1"/>
  <c r="R2" i="1"/>
  <c r="R7" i="1"/>
  <c r="R6" i="1"/>
  <c r="R5" i="1"/>
  <c r="R4" i="1"/>
  <c r="U7" i="1"/>
  <c r="U6" i="1"/>
  <c r="U5" i="1"/>
  <c r="U4" i="1"/>
  <c r="U3" i="1"/>
  <c r="U2" i="1"/>
  <c r="T7" i="1"/>
  <c r="T6" i="1"/>
  <c r="T5" i="1"/>
  <c r="T4" i="1"/>
  <c r="T3" i="1"/>
  <c r="T2" i="1"/>
</calcChain>
</file>

<file path=xl/sharedStrings.xml><?xml version="1.0" encoding="utf-8"?>
<sst xmlns="http://schemas.openxmlformats.org/spreadsheetml/2006/main" count="37" uniqueCount="22">
  <si>
    <t>Voltage [kV]</t>
  </si>
  <si>
    <t>CB</t>
  </si>
  <si>
    <t>CBSR (2mm)</t>
  </si>
  <si>
    <t>CBSR (0.5mm, Bottom)</t>
  </si>
  <si>
    <t>CBSR (0.5mm, Top)</t>
  </si>
  <si>
    <t>CBSR (2mm, Bottom)</t>
  </si>
  <si>
    <t>CBSR (2mm, Top)</t>
  </si>
  <si>
    <t>CBSR (1mm, Bottom)</t>
  </si>
  <si>
    <t>CBSR (1mm, Top)</t>
  </si>
  <si>
    <t>CBSR Spider (2mm, Bottom, Horizontal)</t>
  </si>
  <si>
    <t>CBSR Spider (2mm, Top, Horizontal)</t>
  </si>
  <si>
    <t>CBSR Spider (2mm, Bottom, Vertical)</t>
  </si>
  <si>
    <t>CBSR Spider (2mm, Top, Vertical)</t>
  </si>
  <si>
    <t>CB + CB, CBSR (0.5mm, Horizontal)</t>
  </si>
  <si>
    <t>CB + CB, CBSR (0.5mm, Vertical)</t>
  </si>
  <si>
    <t>CB + CBSR (0.5mm, Vertical)</t>
  </si>
  <si>
    <t>CBSR 75mm Active Area (0.5mm)</t>
  </si>
  <si>
    <t>CBSR 75mm Active Area (0.5mm , change in mm^2)</t>
  </si>
  <si>
    <t>CBSR 75mm Active Area (0.5mm, Area)</t>
  </si>
  <si>
    <t>CBSR 75mm Active Area (0.5mm, mm^2)</t>
  </si>
  <si>
    <t>CBSR 75mm Active Area (0.5mm, Conversion)</t>
  </si>
  <si>
    <t>Theoretical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</si>
</sst>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44444"/>
      <name val="Aptos Narrow"/>
      <charset val="1"/>
    </font>
    <font>
      <b/>
      <sz val="11"/>
      <color rgb="FF000000"/>
      <name val="Calibri"/>
      <scheme val="minor"/>
    </font>
    <font>
      <b/>
      <sz val="11"/>
      <color rgb="FF000000"/>
      <name val="Aptos Narrow"/>
      <charset val="1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7BBF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BBFAF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5" borderId="0" xfId="0" applyFont="1" applyFill="1"/>
    <xf numFmtId="0" fontId="2" fillId="5" borderId="0" xfId="0" applyFont="1" applyFill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2" fillId="2" borderId="0" xfId="0" applyFont="1" applyFill="1"/>
    <xf numFmtId="0" fontId="1" fillId="6" borderId="0" xfId="0" applyFont="1" applyFill="1"/>
    <xf numFmtId="0" fontId="2" fillId="7" borderId="0" xfId="0" applyFont="1" applyFill="1"/>
    <xf numFmtId="0" fontId="3" fillId="0" borderId="0" xfId="0" applyFont="1"/>
    <xf numFmtId="0" fontId="1" fillId="0" borderId="0" xfId="0" applyFont="1" applyAlignment="1">
      <alignment horizontal="center"/>
    </xf>
    <xf numFmtId="0" fontId="1" fillId="8" borderId="0" xfId="0" applyFont="1" applyFill="1"/>
    <xf numFmtId="0" fontId="1" fillId="9" borderId="0" xfId="0" applyFont="1" applyFill="1"/>
    <xf numFmtId="0" fontId="4" fillId="9" borderId="0" xfId="0" applyFont="1" applyFill="1"/>
    <xf numFmtId="0" fontId="1" fillId="10" borderId="0" xfId="0" applyFont="1" applyFill="1"/>
    <xf numFmtId="0" fontId="2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BFAF1"/>
      <color rgb="FFD7BB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F755E-5266-4D15-BF1A-DDAD0E2DB57F}">
  <dimension ref="A1:W14"/>
  <sheetViews>
    <sheetView workbookViewId="0">
      <selection activeCell="H1" sqref="H1"/>
    </sheetView>
  </sheetViews>
  <sheetFormatPr defaultRowHeight="15" x14ac:dyDescent="0.25"/>
  <cols>
    <col min="13" max="13" width="9.28515625" bestFit="1" customWidth="1"/>
    <col min="16" max="16" width="9.28515625" bestFit="1" customWidth="1"/>
  </cols>
  <sheetData>
    <row r="1" spans="1:23" x14ac:dyDescent="0.25">
      <c r="A1" s="11" t="s">
        <v>0</v>
      </c>
      <c r="B1" s="1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7" t="s">
        <v>10</v>
      </c>
      <c r="L1" s="15" t="s">
        <v>11</v>
      </c>
      <c r="M1" s="15" t="s">
        <v>12</v>
      </c>
      <c r="N1" s="13" t="s">
        <v>13</v>
      </c>
      <c r="O1" s="14" t="s">
        <v>14</v>
      </c>
      <c r="P1" s="10" t="s">
        <v>15</v>
      </c>
      <c r="Q1" s="12" t="s">
        <v>16</v>
      </c>
      <c r="R1" s="9" t="s">
        <v>17</v>
      </c>
      <c r="S1" s="9" t="s">
        <v>18</v>
      </c>
      <c r="T1" s="1" t="s">
        <v>19</v>
      </c>
      <c r="U1" s="1" t="s">
        <v>20</v>
      </c>
      <c r="V1" s="8" t="s">
        <v>21</v>
      </c>
    </row>
    <row r="2" spans="1:23" x14ac:dyDescent="0.25">
      <c r="A2">
        <v>5</v>
      </c>
      <c r="B2">
        <v>1.2</v>
      </c>
      <c r="C2">
        <v>0.82</v>
      </c>
      <c r="D2">
        <v>0.51600000000000001</v>
      </c>
      <c r="E2">
        <v>0.40600000000000003</v>
      </c>
      <c r="F2">
        <v>0.27600000000000002</v>
      </c>
      <c r="G2">
        <v>0.114</v>
      </c>
      <c r="H2">
        <v>0.32500000000000001</v>
      </c>
      <c r="I2">
        <v>0.128</v>
      </c>
      <c r="J2">
        <v>1.9E-2</v>
      </c>
      <c r="K2">
        <v>8.7999999999999995E-2</v>
      </c>
      <c r="L2">
        <v>0.27400000000000002</v>
      </c>
      <c r="M2">
        <v>0.27300000000000002</v>
      </c>
      <c r="N2">
        <v>0.17699999999999999</v>
      </c>
      <c r="O2">
        <v>0.50900000000000001</v>
      </c>
      <c r="P2">
        <v>0.312</v>
      </c>
      <c r="Q2">
        <v>0.4</v>
      </c>
      <c r="R2">
        <f>4398.871-4378.376</f>
        <v>20.494999999999891</v>
      </c>
      <c r="S2">
        <f>(4398.871/4378.376) * 100</f>
        <v>100.46809593328668</v>
      </c>
      <c r="T2">
        <f>((75+0.4)/2)^2*PI()</f>
        <v>4465.1142226206375</v>
      </c>
      <c r="U2">
        <f>(((75+0.4)/2)^2*PI())/4417.865*100</f>
        <v>101.06950354120458</v>
      </c>
      <c r="V2">
        <v>1.9</v>
      </c>
    </row>
    <row r="3" spans="1:23" x14ac:dyDescent="0.25">
      <c r="A3">
        <v>6</v>
      </c>
      <c r="B3">
        <v>1.6</v>
      </c>
      <c r="C3">
        <v>0.99</v>
      </c>
      <c r="D3">
        <v>0.67500000000000004</v>
      </c>
      <c r="E3">
        <v>0.82699999999999996</v>
      </c>
      <c r="F3">
        <v>0.433</v>
      </c>
      <c r="G3">
        <v>0.31900000000000001</v>
      </c>
      <c r="H3">
        <v>0.41</v>
      </c>
      <c r="I3">
        <v>0.26600000000000001</v>
      </c>
      <c r="J3">
        <v>0.38800000000000001</v>
      </c>
      <c r="K3">
        <v>0.28599999999999998</v>
      </c>
      <c r="L3">
        <v>0.28999999999999998</v>
      </c>
      <c r="M3">
        <v>0.32</v>
      </c>
      <c r="N3">
        <v>0.70499999999999996</v>
      </c>
      <c r="O3">
        <v>0.93</v>
      </c>
      <c r="P3">
        <v>0.66500000000000004</v>
      </c>
      <c r="Q3">
        <v>0.57799999999999996</v>
      </c>
      <c r="R3">
        <f>4403.846-4378.376</f>
        <v>25.469999999999345</v>
      </c>
      <c r="S3">
        <f>4403.846/4378.376*100</f>
        <v>100.58172253821964</v>
      </c>
      <c r="T3">
        <f>((75+0.578)/2)^2*PI()</f>
        <v>4486.2210788372267</v>
      </c>
      <c r="U3">
        <f>(((75+0.578)/2)^2*PI())/4417.865*100</f>
        <v>101.54726499875453</v>
      </c>
      <c r="V3">
        <v>2.8</v>
      </c>
    </row>
    <row r="4" spans="1:23" x14ac:dyDescent="0.25">
      <c r="A4">
        <v>7</v>
      </c>
      <c r="B4">
        <v>2.2999999999999998</v>
      </c>
      <c r="C4">
        <v>1.0900000000000001</v>
      </c>
      <c r="D4">
        <v>0.93300000000000005</v>
      </c>
      <c r="E4">
        <v>1.0309999999999999</v>
      </c>
      <c r="F4">
        <v>0.46700000000000003</v>
      </c>
      <c r="G4">
        <v>0.50900000000000001</v>
      </c>
      <c r="H4">
        <v>0.52400000000000002</v>
      </c>
      <c r="I4">
        <v>0.51700000000000002</v>
      </c>
      <c r="J4">
        <v>0.49399999999999999</v>
      </c>
      <c r="K4">
        <v>0.59699999999999998</v>
      </c>
      <c r="L4">
        <v>0.33700000000000002</v>
      </c>
      <c r="M4">
        <v>0.497</v>
      </c>
      <c r="N4">
        <v>1.4379999999999999</v>
      </c>
      <c r="O4">
        <v>1.2769999999999999</v>
      </c>
      <c r="P4">
        <v>1.0649999999999999</v>
      </c>
      <c r="Q4">
        <v>0.60699999999999998</v>
      </c>
      <c r="R4">
        <f>4418.371-4378.376</f>
        <v>39.994999999999891</v>
      </c>
      <c r="S4">
        <f>4418.371/4378.376*100</f>
        <v>100.91346654558677</v>
      </c>
      <c r="T4">
        <f>((75+0.607)/2)^2*PI()</f>
        <v>4489.6645510558901</v>
      </c>
      <c r="U4">
        <f>(((75+0.607)/2)^2*PI())/4417.865*100</f>
        <v>101.62520925958331</v>
      </c>
      <c r="V4">
        <v>3.8</v>
      </c>
    </row>
    <row r="5" spans="1:23" x14ac:dyDescent="0.25">
      <c r="A5">
        <v>8</v>
      </c>
      <c r="B5">
        <v>2.6</v>
      </c>
      <c r="C5">
        <v>1.27</v>
      </c>
      <c r="D5">
        <v>1.1599999999999999</v>
      </c>
      <c r="E5">
        <v>1.077</v>
      </c>
      <c r="F5">
        <v>0.54</v>
      </c>
      <c r="G5">
        <v>0.69</v>
      </c>
      <c r="H5">
        <v>0.66500000000000004</v>
      </c>
      <c r="I5">
        <v>0.502</v>
      </c>
      <c r="J5">
        <v>0.50900000000000001</v>
      </c>
      <c r="K5">
        <v>0.69699999999999995</v>
      </c>
      <c r="L5">
        <v>0.434</v>
      </c>
      <c r="M5">
        <v>0.52700000000000002</v>
      </c>
      <c r="N5">
        <v>1.6950000000000001</v>
      </c>
      <c r="O5">
        <v>1.6359999999999999</v>
      </c>
      <c r="P5">
        <v>1.4650000000000001</v>
      </c>
      <c r="Q5">
        <v>0.79200000000000004</v>
      </c>
      <c r="R5">
        <f>4458.565-4378.376</f>
        <v>80.188999999999396</v>
      </c>
      <c r="S5">
        <f>4458.565/4378.376*100</f>
        <v>101.83147815537083</v>
      </c>
      <c r="T5">
        <f>((75+0.792)/2)^2*PI()</f>
        <v>4511.6626229158283</v>
      </c>
      <c r="U5">
        <f>(((75+0.792)/2)^2*PI())/4417.865*100</f>
        <v>102.12314371117787</v>
      </c>
      <c r="V5">
        <v>4.99</v>
      </c>
    </row>
    <row r="6" spans="1:23" x14ac:dyDescent="0.25">
      <c r="A6">
        <v>9</v>
      </c>
      <c r="B6">
        <v>3.2</v>
      </c>
      <c r="C6">
        <v>1.54</v>
      </c>
      <c r="D6">
        <v>1.5649999999999999</v>
      </c>
      <c r="E6">
        <v>1.2490000000000001</v>
      </c>
      <c r="F6">
        <v>0.623</v>
      </c>
      <c r="G6">
        <v>0.61</v>
      </c>
      <c r="H6">
        <v>0.80300000000000005</v>
      </c>
      <c r="I6">
        <v>0.70699999999999996</v>
      </c>
      <c r="J6">
        <v>0.73399999999999999</v>
      </c>
      <c r="K6">
        <v>0.72799999999999998</v>
      </c>
      <c r="L6">
        <v>0.72399999999999998</v>
      </c>
      <c r="M6">
        <v>0.56200000000000006</v>
      </c>
      <c r="N6">
        <v>2.0550000000000002</v>
      </c>
      <c r="O6">
        <v>2.1669999999999998</v>
      </c>
      <c r="P6">
        <v>1.9890000000000001</v>
      </c>
      <c r="Q6">
        <v>0.96499999999999997</v>
      </c>
      <c r="R6">
        <f>4479.458-4378.376</f>
        <v>101.08199999999943</v>
      </c>
      <c r="S6">
        <f>4479.458/4378.376*100</f>
        <v>102.30866421705215</v>
      </c>
      <c r="T6">
        <f>((75+0.965)/2)^2*PI()</f>
        <v>4532.2824356671372</v>
      </c>
      <c r="U6">
        <f>(((75+0.965)/2)^2*PI())/4417.865*100</f>
        <v>102.58988076066464</v>
      </c>
      <c r="V6">
        <v>6.31</v>
      </c>
    </row>
    <row r="7" spans="1:23" x14ac:dyDescent="0.25">
      <c r="A7">
        <v>10</v>
      </c>
      <c r="B7">
        <v>4</v>
      </c>
      <c r="C7">
        <v>1.91</v>
      </c>
      <c r="D7">
        <v>2.0329999999999999</v>
      </c>
      <c r="E7">
        <v>1.571</v>
      </c>
      <c r="F7">
        <v>0.74099999999999999</v>
      </c>
      <c r="G7">
        <v>0.79200000000000004</v>
      </c>
      <c r="H7">
        <v>0.97199999999999998</v>
      </c>
      <c r="I7">
        <v>0.875</v>
      </c>
      <c r="J7">
        <v>0.89200000000000002</v>
      </c>
      <c r="K7">
        <v>0.88700000000000001</v>
      </c>
      <c r="L7">
        <v>0.872</v>
      </c>
      <c r="M7">
        <v>0.62</v>
      </c>
      <c r="N7">
        <v>2.3719999999999999</v>
      </c>
      <c r="O7">
        <v>2.59</v>
      </c>
      <c r="P7">
        <v>2.1800000000000002</v>
      </c>
      <c r="Q7">
        <v>1.143</v>
      </c>
      <c r="R7">
        <f>4484.061-4378.376</f>
        <v>105.68499999999949</v>
      </c>
      <c r="S7">
        <f>4484.061/4378.376*100</f>
        <v>102.41379452107356</v>
      </c>
      <c r="T7">
        <f>((75+1.143)/2)^2*PI()</f>
        <v>4553.5472668703114</v>
      </c>
      <c r="U7">
        <f>(((75+1.143)/2)^2*PI())/4417.865*100</f>
        <v>103.07121804016899</v>
      </c>
      <c r="V7">
        <v>7.79</v>
      </c>
    </row>
    <row r="8" spans="1:23" x14ac:dyDescent="0.25">
      <c r="A8" s="10"/>
      <c r="W8" s="1"/>
    </row>
    <row r="9" spans="1:23" x14ac:dyDescent="0.25">
      <c r="W9" s="1"/>
    </row>
    <row r="10" spans="1:23" x14ac:dyDescent="0.25">
      <c r="A10" s="1"/>
      <c r="W10" s="1"/>
    </row>
    <row r="11" spans="1:23" x14ac:dyDescent="0.25">
      <c r="W11" s="17"/>
    </row>
    <row r="12" spans="1:23" x14ac:dyDescent="0.25">
      <c r="A12" s="11"/>
      <c r="W12" s="10"/>
    </row>
    <row r="13" spans="1:23" x14ac:dyDescent="0.25">
      <c r="A13" s="1"/>
    </row>
    <row r="14" spans="1:23" x14ac:dyDescent="0.25">
      <c r="A14" s="16"/>
    </row>
  </sheetData>
  <conditionalFormatting sqref="Q2:Q7 C2:M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A1D41-6CED-486B-99C6-0C739249634B}">
  <dimension ref="A1:O2"/>
  <sheetViews>
    <sheetView tabSelected="1" workbookViewId="0">
      <selection activeCell="G7" sqref="G7"/>
    </sheetView>
  </sheetViews>
  <sheetFormatPr defaultRowHeight="15" x14ac:dyDescent="0.25"/>
  <sheetData>
    <row r="1" spans="1:15" x14ac:dyDescent="0.25">
      <c r="A1" s="11" t="s">
        <v>1</v>
      </c>
      <c r="B1" s="2" t="s">
        <v>3</v>
      </c>
      <c r="C1" s="3" t="s">
        <v>4</v>
      </c>
      <c r="D1" s="12" t="s">
        <v>16</v>
      </c>
      <c r="E1" s="5" t="s">
        <v>7</v>
      </c>
      <c r="F1" s="5" t="s">
        <v>8</v>
      </c>
      <c r="G1" s="4" t="s">
        <v>5</v>
      </c>
      <c r="H1" s="4" t="s">
        <v>6</v>
      </c>
      <c r="I1" s="6" t="s">
        <v>9</v>
      </c>
      <c r="J1" s="7" t="s">
        <v>10</v>
      </c>
      <c r="K1" s="15" t="s">
        <v>11</v>
      </c>
      <c r="L1" s="15" t="s">
        <v>12</v>
      </c>
      <c r="M1" s="13" t="s">
        <v>13</v>
      </c>
      <c r="N1" s="14" t="s">
        <v>14</v>
      </c>
      <c r="O1" s="10" t="s">
        <v>15</v>
      </c>
    </row>
    <row r="2" spans="1:15" x14ac:dyDescent="0.25">
      <c r="A2">
        <v>3.6999999999999998E-2</v>
      </c>
      <c r="B2">
        <v>9.0999999999999998E-2</v>
      </c>
      <c r="C2">
        <v>0.09</v>
      </c>
      <c r="D2">
        <v>0.12</v>
      </c>
      <c r="E2">
        <v>9.1999999999999998E-2</v>
      </c>
      <c r="F2">
        <v>8.8999999999999996E-2</v>
      </c>
      <c r="G2">
        <v>0.09</v>
      </c>
      <c r="H2">
        <v>8.8999999999999996E-2</v>
      </c>
      <c r="I2">
        <v>0.04</v>
      </c>
      <c r="J2">
        <v>0.04</v>
      </c>
      <c r="K2">
        <v>0.04</v>
      </c>
      <c r="L2">
        <v>0.04</v>
      </c>
      <c r="M2">
        <v>0.04</v>
      </c>
      <c r="N2">
        <v>5.2999999999999999E-2</v>
      </c>
      <c r="O2">
        <v>0.06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Uncertainties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Yeni Choi</dc:creator>
  <cp:keywords/>
  <dc:description/>
  <cp:lastModifiedBy>Yeni Choi</cp:lastModifiedBy>
  <cp:revision/>
  <dcterms:created xsi:type="dcterms:W3CDTF">2024-01-22T22:23:29Z</dcterms:created>
  <dcterms:modified xsi:type="dcterms:W3CDTF">2024-02-16T11:28:33Z</dcterms:modified>
  <cp:category/>
  <cp:contentStatus/>
</cp:coreProperties>
</file>